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showInkAnnotation="0" codeName="ThisWorkbook"/>
  <mc:AlternateContent xmlns:mc="http://schemas.openxmlformats.org/markup-compatibility/2006">
    <mc:Choice Requires="x15">
      <x15ac:absPath xmlns:x15ac="http://schemas.microsoft.com/office/spreadsheetml/2010/11/ac" url="D:\TempUserProfiles\NetworkService\AppData\Local\Packages\oice_16_974fa576_32c1d314_3925\AC\Temp\"/>
    </mc:Choice>
  </mc:AlternateContent>
  <xr:revisionPtr revIDLastSave="0" documentId="8_{C476441A-9D55-4436-A918-6159DA0F4FDF}" xr6:coauthVersionLast="47" xr6:coauthVersionMax="47" xr10:uidLastSave="{00000000-0000-0000-0000-000000000000}"/>
  <bookViews>
    <workbookView xWindow="-60" yWindow="-60" windowWidth="15480" windowHeight="11640" tabRatio="911" firstSheet="4" activeTab="4" xr2:uid="{00000000-000D-0000-FFFF-FFFF00000000}"/>
  </bookViews>
  <sheets>
    <sheet name="1. Instructions" sheetId="22" r:id="rId1"/>
    <sheet name="2. Enrollment Projections" sheetId="1" r:id="rId2"/>
    <sheet name="3. Staffing Plan" sheetId="23" r:id="rId3"/>
    <sheet name="4. Budget &amp; Cash Flow (Year 0)" sheetId="21" r:id="rId4"/>
    <sheet name="5. 5-Year Budget" sheetId="16" r:id="rId5"/>
    <sheet name="CONTROL" sheetId="24" state="veryHidden" r:id="rId6"/>
  </sheets>
  <definedNames>
    <definedName name="AHS">CONTROL!$J$28:$J$30</definedName>
    <definedName name="CorpList">CONTROL!$C$17:$C$306</definedName>
    <definedName name="_xlnm.Print_Area" localSheetId="3">'4. Budget &amp; Cash Flow (Year 0)'!$C$3:$S$113</definedName>
    <definedName name="_xlnm.Print_Titles" localSheetId="3">'4. Budget &amp; Cash Flow (Year 0)'!$13:$13</definedName>
    <definedName name="Schools">CONTROL!$C$16:$D$306</definedName>
  </definedNames>
  <calcPr calcId="191028"/>
  <customWorkbookViews>
    <customWorkbookView name="ca10146 - Personal View" guid="{78108F25-E067-40AC-B09B-6FE5187CDB4B}" mergeInterval="0" personalView="1" maximized="1" xWindow="1" yWindow="1" windowWidth="1276" windowHeight="803" tabRatio="911" activeSheetId="4"/>
    <customWorkbookView name="Matthew Shaw - Personal View" guid="{4EB07C87-A9F4-403E-8C0F-324FFB87E1FF}" mergeInterval="0" personalView="1" maximized="1" windowWidth="1676" windowHeight="825" tabRatio="9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2" i="16" l="1"/>
  <c r="L100" i="16"/>
  <c r="K100" i="16"/>
  <c r="J100" i="16"/>
  <c r="I100" i="16"/>
  <c r="L21" i="16"/>
  <c r="K21" i="16"/>
  <c r="J21" i="16"/>
  <c r="G21" i="1"/>
  <c r="G29" i="1"/>
  <c r="L102" i="16"/>
  <c r="J102" i="16"/>
  <c r="L25" i="16"/>
  <c r="M24" i="21"/>
  <c r="N24" i="21" s="1"/>
  <c r="O24" i="21" s="1"/>
  <c r="P24" i="21" s="1"/>
  <c r="I155" i="16"/>
  <c r="J155" i="16" s="1"/>
  <c r="K155" i="16" s="1"/>
  <c r="L155" i="16" s="1"/>
  <c r="I154" i="16"/>
  <c r="J154" i="16" s="1"/>
  <c r="K154" i="16" s="1"/>
  <c r="L154" i="16" s="1"/>
  <c r="I148" i="16"/>
  <c r="J148" i="16" s="1"/>
  <c r="K148" i="16" s="1"/>
  <c r="L148" i="16" s="1"/>
  <c r="K25" i="16"/>
  <c r="H100" i="16"/>
  <c r="L67" i="16"/>
  <c r="L61" i="16"/>
  <c r="L60" i="16"/>
  <c r="K67" i="16"/>
  <c r="K61" i="16"/>
  <c r="K60" i="16"/>
  <c r="J67" i="16"/>
  <c r="J61" i="16"/>
  <c r="J60" i="16"/>
  <c r="I67" i="16"/>
  <c r="I72" i="16" s="1"/>
  <c r="I61" i="16"/>
  <c r="I60" i="16"/>
  <c r="I64" i="16"/>
  <c r="H67" i="16"/>
  <c r="H61" i="16"/>
  <c r="H60" i="16"/>
  <c r="I130" i="16"/>
  <c r="J130" i="16" s="1"/>
  <c r="K130" i="16" s="1"/>
  <c r="L130" i="16" s="1"/>
  <c r="I129" i="16"/>
  <c r="J129" i="16" s="1"/>
  <c r="K129" i="16" s="1"/>
  <c r="L129" i="16" s="1"/>
  <c r="I128" i="16"/>
  <c r="J128" i="16" s="1"/>
  <c r="K128" i="16" s="1"/>
  <c r="L128" i="16" s="1"/>
  <c r="I119" i="16"/>
  <c r="J119" i="16" s="1"/>
  <c r="K119" i="16" s="1"/>
  <c r="L104" i="16"/>
  <c r="K104" i="16"/>
  <c r="J104" i="16"/>
  <c r="I104" i="16"/>
  <c r="H104" i="16"/>
  <c r="I102" i="16"/>
  <c r="H102" i="16"/>
  <c r="H25" i="16"/>
  <c r="I21" i="16"/>
  <c r="H21" i="16"/>
  <c r="N66" i="21"/>
  <c r="O66" i="21" s="1"/>
  <c r="P66" i="21" s="1"/>
  <c r="N63" i="21"/>
  <c r="O63" i="21" s="1"/>
  <c r="P63" i="21" s="1"/>
  <c r="Q63" i="21" s="1"/>
  <c r="M33" i="21"/>
  <c r="N33" i="21" s="1"/>
  <c r="O33" i="21" s="1"/>
  <c r="P33" i="21" s="1"/>
  <c r="Q33" i="21" s="1"/>
  <c r="O16" i="23"/>
  <c r="O17" i="23"/>
  <c r="O18" i="23"/>
  <c r="P18" i="23"/>
  <c r="O19" i="23"/>
  <c r="O20" i="23"/>
  <c r="F21" i="1"/>
  <c r="E21" i="1"/>
  <c r="E29" i="1"/>
  <c r="I113" i="16"/>
  <c r="J113" i="16" s="1"/>
  <c r="K113" i="16" s="1"/>
  <c r="H107" i="16"/>
  <c r="I107" i="16" s="1"/>
  <c r="J107" i="16" s="1"/>
  <c r="K107" i="16" s="1"/>
  <c r="I149" i="16"/>
  <c r="J149" i="16"/>
  <c r="I145" i="16"/>
  <c r="J145" i="16"/>
  <c r="H112" i="16"/>
  <c r="I105" i="16"/>
  <c r="J105" i="16" s="1"/>
  <c r="K105" i="16" s="1"/>
  <c r="K51" i="23"/>
  <c r="O51" i="23" s="1"/>
  <c r="S51" i="23" s="1"/>
  <c r="W51" i="23" s="1"/>
  <c r="AA51" i="23" s="1"/>
  <c r="K50" i="23"/>
  <c r="O50" i="23"/>
  <c r="W40" i="23"/>
  <c r="AA40" i="23" s="1"/>
  <c r="AB40" i="23" s="1"/>
  <c r="X40" i="23"/>
  <c r="T40" i="23"/>
  <c r="O33" i="23"/>
  <c r="S33" i="23" s="1"/>
  <c r="T33" i="23" s="1"/>
  <c r="O42" i="23"/>
  <c r="S42" i="23"/>
  <c r="N46" i="23"/>
  <c r="L33" i="23"/>
  <c r="K34" i="23"/>
  <c r="O34" i="23" s="1"/>
  <c r="S34" i="23" s="1"/>
  <c r="W34" i="23" s="1"/>
  <c r="AA34" i="23" s="1"/>
  <c r="K35" i="23"/>
  <c r="O35" i="23" s="1"/>
  <c r="K36" i="23"/>
  <c r="O36" i="23" s="1"/>
  <c r="S36" i="23" s="1"/>
  <c r="W36" i="23" s="1"/>
  <c r="AA36" i="23" s="1"/>
  <c r="AB36" i="23" s="1"/>
  <c r="K37" i="23"/>
  <c r="O37" i="23" s="1"/>
  <c r="S37" i="23" s="1"/>
  <c r="W37" i="23" s="1"/>
  <c r="AA37" i="23" s="1"/>
  <c r="L37" i="23"/>
  <c r="K38" i="23"/>
  <c r="O38" i="23" s="1"/>
  <c r="S38" i="23" s="1"/>
  <c r="K39" i="23"/>
  <c r="O39" i="23" s="1"/>
  <c r="L39" i="23"/>
  <c r="K40" i="23"/>
  <c r="O40" i="23" s="1"/>
  <c r="K41" i="23"/>
  <c r="O41" i="23" s="1"/>
  <c r="S41" i="23" s="1"/>
  <c r="W41" i="23" s="1"/>
  <c r="AA41" i="23" s="1"/>
  <c r="L41" i="23"/>
  <c r="K43" i="23"/>
  <c r="O43" i="23" s="1"/>
  <c r="K44" i="23"/>
  <c r="O44" i="23" s="1"/>
  <c r="S44" i="23" s="1"/>
  <c r="W44" i="23" s="1"/>
  <c r="AA44" i="23" s="1"/>
  <c r="AB44" i="23" s="1"/>
  <c r="K45" i="23"/>
  <c r="O45" i="23" s="1"/>
  <c r="S45" i="23" s="1"/>
  <c r="W45" i="23" s="1"/>
  <c r="AA45" i="23" s="1"/>
  <c r="L45" i="23"/>
  <c r="K32" i="23"/>
  <c r="O32" i="23" s="1"/>
  <c r="S32" i="23" s="1"/>
  <c r="H38" i="16"/>
  <c r="H134" i="16" s="1"/>
  <c r="I38" i="16"/>
  <c r="I134" i="16" s="1"/>
  <c r="J38" i="16"/>
  <c r="J134" i="16" s="1"/>
  <c r="K38" i="16"/>
  <c r="K134" i="16" s="1"/>
  <c r="L38" i="16"/>
  <c r="L134" i="16" s="1"/>
  <c r="L37" i="16"/>
  <c r="K37" i="16"/>
  <c r="J37" i="16"/>
  <c r="I37" i="16"/>
  <c r="H37" i="16"/>
  <c r="L36" i="16"/>
  <c r="K36" i="16"/>
  <c r="J36" i="16"/>
  <c r="I36" i="16"/>
  <c r="H36" i="16"/>
  <c r="L35" i="16"/>
  <c r="L42" i="16" s="1"/>
  <c r="K35" i="16"/>
  <c r="J35" i="16"/>
  <c r="I35" i="16"/>
  <c r="H35" i="16"/>
  <c r="S20" i="23"/>
  <c r="W20" i="23" s="1"/>
  <c r="X20" i="23" s="1"/>
  <c r="T20" i="23"/>
  <c r="O15" i="23"/>
  <c r="S15" i="23" s="1"/>
  <c r="W15" i="23" s="1"/>
  <c r="AA15" i="23" s="1"/>
  <c r="P19" i="23"/>
  <c r="S19" i="23"/>
  <c r="T19" i="23"/>
  <c r="O21" i="23"/>
  <c r="S21" i="23" s="1"/>
  <c r="O22" i="23"/>
  <c r="S22" i="23" s="1"/>
  <c r="T22" i="23" s="1"/>
  <c r="O23" i="23"/>
  <c r="S23" i="23" s="1"/>
  <c r="W23" i="23" s="1"/>
  <c r="O24" i="23"/>
  <c r="S24" i="23" s="1"/>
  <c r="W24" i="23" s="1"/>
  <c r="O25" i="23"/>
  <c r="S25" i="23" s="1"/>
  <c r="W25" i="23" s="1"/>
  <c r="AA25" i="23" s="1"/>
  <c r="P25" i="23"/>
  <c r="O26" i="23"/>
  <c r="S26" i="23" s="1"/>
  <c r="W26" i="23" s="1"/>
  <c r="AA26" i="23" s="1"/>
  <c r="O27" i="23"/>
  <c r="S27" i="23" s="1"/>
  <c r="W27" i="23" s="1"/>
  <c r="AA27" i="23" s="1"/>
  <c r="P27" i="23"/>
  <c r="O14" i="23"/>
  <c r="S14" i="23" s="1"/>
  <c r="W14" i="23" s="1"/>
  <c r="AA14" i="23" s="1"/>
  <c r="H42" i="16"/>
  <c r="G94" i="24"/>
  <c r="E94" i="24"/>
  <c r="G108" i="24"/>
  <c r="E108" i="24"/>
  <c r="H11" i="1"/>
  <c r="R97" i="21"/>
  <c r="Q97" i="21"/>
  <c r="P97" i="21"/>
  <c r="O97" i="21"/>
  <c r="N97" i="21"/>
  <c r="M97" i="21"/>
  <c r="L97" i="21"/>
  <c r="K97" i="21"/>
  <c r="J97" i="21"/>
  <c r="I97" i="21"/>
  <c r="H97" i="21"/>
  <c r="G97" i="21"/>
  <c r="S95" i="21"/>
  <c r="G157" i="16"/>
  <c r="S94" i="21"/>
  <c r="G156" i="16"/>
  <c r="S93" i="21"/>
  <c r="G155" i="16"/>
  <c r="S92" i="21"/>
  <c r="G154" i="16"/>
  <c r="S91" i="21"/>
  <c r="G153" i="16"/>
  <c r="S90" i="21"/>
  <c r="G152" i="16" s="1"/>
  <c r="E5" i="21"/>
  <c r="E4" i="21"/>
  <c r="S16" i="21"/>
  <c r="S17" i="21"/>
  <c r="I29" i="1"/>
  <c r="H29" i="1"/>
  <c r="H41" i="1"/>
  <c r="F29" i="1"/>
  <c r="F41" i="1"/>
  <c r="I33" i="1"/>
  <c r="L18" i="16" s="1"/>
  <c r="H33" i="1"/>
  <c r="G33" i="1"/>
  <c r="G43" i="1"/>
  <c r="F33" i="1"/>
  <c r="I17" i="16" s="1"/>
  <c r="E33" i="1"/>
  <c r="E43" i="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7"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7" i="24"/>
  <c r="G106" i="24"/>
  <c r="G105" i="24"/>
  <c r="G104" i="24"/>
  <c r="G103" i="24"/>
  <c r="G102" i="24"/>
  <c r="G101" i="24"/>
  <c r="G100" i="24"/>
  <c r="G99" i="24"/>
  <c r="G98" i="24"/>
  <c r="G97" i="24"/>
  <c r="G96" i="24"/>
  <c r="G95"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5" i="24"/>
  <c r="E96" i="24"/>
  <c r="E97" i="24"/>
  <c r="E98" i="24"/>
  <c r="E99" i="24"/>
  <c r="E100" i="24"/>
  <c r="E101" i="24"/>
  <c r="E102" i="24"/>
  <c r="E103" i="24"/>
  <c r="E104" i="24"/>
  <c r="E105" i="24"/>
  <c r="E106" i="24"/>
  <c r="E107"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7"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37" i="23"/>
  <c r="AB25" i="23"/>
  <c r="X37" i="23"/>
  <c r="X36" i="23"/>
  <c r="X25" i="23"/>
  <c r="T37" i="23"/>
  <c r="T36" i="23"/>
  <c r="T25" i="23"/>
  <c r="T24" i="23"/>
  <c r="T23" i="23"/>
  <c r="P40" i="23"/>
  <c r="P38" i="23"/>
  <c r="P37" i="23"/>
  <c r="P36" i="23"/>
  <c r="P24" i="23"/>
  <c r="P23" i="23"/>
  <c r="P22" i="23"/>
  <c r="P21" i="23"/>
  <c r="L40" i="23"/>
  <c r="L38" i="23"/>
  <c r="L36" i="23"/>
  <c r="L25" i="23"/>
  <c r="L24" i="23"/>
  <c r="L23" i="23"/>
  <c r="L22" i="23"/>
  <c r="L21" i="23"/>
  <c r="H40" i="23"/>
  <c r="H39" i="23"/>
  <c r="H38" i="23"/>
  <c r="H37" i="23"/>
  <c r="H36" i="23"/>
  <c r="H25" i="23"/>
  <c r="H24" i="23"/>
  <c r="H23" i="23"/>
  <c r="H22" i="23"/>
  <c r="H21" i="23"/>
  <c r="H35" i="23"/>
  <c r="L35" i="23"/>
  <c r="P20" i="23"/>
  <c r="L20" i="23"/>
  <c r="H20" i="23"/>
  <c r="S102" i="21"/>
  <c r="G166" i="16"/>
  <c r="S101" i="21"/>
  <c r="G164" i="16"/>
  <c r="S100" i="21"/>
  <c r="G163" i="16"/>
  <c r="S89" i="21"/>
  <c r="G151" i="16"/>
  <c r="S88" i="21"/>
  <c r="G150" i="16"/>
  <c r="S87" i="21"/>
  <c r="G149" i="16"/>
  <c r="S86" i="21"/>
  <c r="G148" i="16"/>
  <c r="S85" i="21"/>
  <c r="G147" i="16"/>
  <c r="S84" i="21"/>
  <c r="G146" i="16"/>
  <c r="S83" i="21"/>
  <c r="G145" i="16"/>
  <c r="S82" i="21"/>
  <c r="G144" i="16"/>
  <c r="S81" i="21"/>
  <c r="G143" i="16"/>
  <c r="S80" i="21"/>
  <c r="G142" i="16"/>
  <c r="S75" i="21"/>
  <c r="G137" i="16"/>
  <c r="S74" i="21"/>
  <c r="G136" i="16"/>
  <c r="S73" i="21"/>
  <c r="G135" i="16"/>
  <c r="S72" i="21"/>
  <c r="G134" i="16"/>
  <c r="S71" i="21"/>
  <c r="G133" i="16"/>
  <c r="S70" i="21"/>
  <c r="G132" i="16" s="1"/>
  <c r="S69" i="21"/>
  <c r="G131" i="16"/>
  <c r="S68" i="21"/>
  <c r="G130" i="16"/>
  <c r="S67" i="21"/>
  <c r="G129" i="16"/>
  <c r="S65" i="21"/>
  <c r="G127" i="16"/>
  <c r="S64" i="21"/>
  <c r="G126" i="16"/>
  <c r="S62" i="21"/>
  <c r="G124" i="16"/>
  <c r="S57" i="21"/>
  <c r="G119" i="16"/>
  <c r="S56" i="21"/>
  <c r="G118" i="16"/>
  <c r="S50" i="21"/>
  <c r="G112" i="16"/>
  <c r="S45" i="21"/>
  <c r="G107" i="16"/>
  <c r="S44" i="21"/>
  <c r="G106" i="16"/>
  <c r="S43" i="21"/>
  <c r="G105" i="16"/>
  <c r="S42" i="21"/>
  <c r="G104" i="16"/>
  <c r="S41" i="21"/>
  <c r="G103" i="16"/>
  <c r="S40" i="21"/>
  <c r="G102" i="16"/>
  <c r="S39" i="21"/>
  <c r="G101" i="16"/>
  <c r="S38" i="21"/>
  <c r="G100" i="16"/>
  <c r="S23" i="21"/>
  <c r="G48" i="16"/>
  <c r="S22" i="21"/>
  <c r="G45" i="16"/>
  <c r="G40" i="16"/>
  <c r="G33" i="16"/>
  <c r="G42" i="16"/>
  <c r="H159" i="16"/>
  <c r="J121" i="16"/>
  <c r="I121" i="16"/>
  <c r="H121" i="16"/>
  <c r="I115" i="16"/>
  <c r="H115" i="16"/>
  <c r="H109" i="16"/>
  <c r="K85" i="16"/>
  <c r="J85" i="16"/>
  <c r="I85" i="16"/>
  <c r="H85" i="16"/>
  <c r="H72" i="16"/>
  <c r="L64" i="16"/>
  <c r="K64" i="16"/>
  <c r="J64" i="16"/>
  <c r="H64" i="16"/>
  <c r="L51" i="16"/>
  <c r="K51" i="16"/>
  <c r="J51" i="16"/>
  <c r="I51" i="16"/>
  <c r="H51" i="16"/>
  <c r="R104" i="21"/>
  <c r="Q104" i="21"/>
  <c r="P104" i="21"/>
  <c r="O104" i="21"/>
  <c r="N104" i="21"/>
  <c r="M104" i="21"/>
  <c r="O77" i="21"/>
  <c r="M77" i="21"/>
  <c r="R59" i="21"/>
  <c r="Q59" i="21"/>
  <c r="P59" i="21"/>
  <c r="O59" i="21"/>
  <c r="N59" i="21"/>
  <c r="M59" i="21"/>
  <c r="R47" i="21"/>
  <c r="Q47" i="21"/>
  <c r="P47" i="21"/>
  <c r="O47" i="21"/>
  <c r="N47" i="21"/>
  <c r="M47" i="21"/>
  <c r="P35" i="21"/>
  <c r="O35" i="21"/>
  <c r="N35" i="21"/>
  <c r="M35" i="21"/>
  <c r="R19" i="21"/>
  <c r="Q19" i="21"/>
  <c r="P19" i="21"/>
  <c r="O19" i="21"/>
  <c r="O26" i="21"/>
  <c r="O28" i="21"/>
  <c r="N19" i="21"/>
  <c r="N26" i="21"/>
  <c r="N28" i="21"/>
  <c r="M19" i="21"/>
  <c r="M26" i="21"/>
  <c r="M28" i="21"/>
  <c r="L19" i="21"/>
  <c r="L26" i="21"/>
  <c r="L28" i="21"/>
  <c r="K19" i="21"/>
  <c r="K26" i="21"/>
  <c r="K28" i="21"/>
  <c r="J19" i="21"/>
  <c r="J26" i="21"/>
  <c r="I19" i="21"/>
  <c r="H19" i="21"/>
  <c r="H26" i="21"/>
  <c r="G19" i="21"/>
  <c r="L35" i="21"/>
  <c r="K35" i="21"/>
  <c r="J35" i="21"/>
  <c r="I35" i="21"/>
  <c r="H35" i="21"/>
  <c r="G35" i="21"/>
  <c r="L47" i="21"/>
  <c r="K47" i="21"/>
  <c r="J47" i="21"/>
  <c r="I47" i="21"/>
  <c r="H47" i="21"/>
  <c r="G47" i="21"/>
  <c r="L53" i="21"/>
  <c r="K53" i="21"/>
  <c r="J53" i="21"/>
  <c r="I53" i="21"/>
  <c r="H53" i="21"/>
  <c r="G53" i="21"/>
  <c r="L59" i="21"/>
  <c r="K59" i="21"/>
  <c r="J59" i="21"/>
  <c r="I59" i="21"/>
  <c r="H59" i="21"/>
  <c r="G59" i="21"/>
  <c r="S59" i="21" s="1"/>
  <c r="L77" i="21"/>
  <c r="K77" i="21"/>
  <c r="J77" i="21"/>
  <c r="I77" i="21"/>
  <c r="H77" i="21"/>
  <c r="G77" i="21"/>
  <c r="L104" i="21"/>
  <c r="K104" i="21"/>
  <c r="J104" i="21"/>
  <c r="I104" i="21"/>
  <c r="H104" i="21"/>
  <c r="G104" i="21"/>
  <c r="E5" i="16"/>
  <c r="E4" i="16"/>
  <c r="F4" i="23"/>
  <c r="F3" i="23"/>
  <c r="F7" i="1"/>
  <c r="F6" i="1"/>
  <c r="AB45" i="23"/>
  <c r="AB41" i="23"/>
  <c r="AB34" i="23"/>
  <c r="AB31" i="23"/>
  <c r="X45" i="23"/>
  <c r="X44" i="23"/>
  <c r="X41" i="23"/>
  <c r="X34" i="23"/>
  <c r="X31" i="23"/>
  <c r="T45" i="23"/>
  <c r="T44" i="23"/>
  <c r="T41" i="23"/>
  <c r="T34" i="23"/>
  <c r="T31" i="23"/>
  <c r="P45" i="23"/>
  <c r="P44" i="23"/>
  <c r="P41" i="23"/>
  <c r="P34" i="23"/>
  <c r="P33" i="23"/>
  <c r="P31" i="23"/>
  <c r="L44" i="23"/>
  <c r="L43" i="23"/>
  <c r="L42" i="23"/>
  <c r="L34" i="23"/>
  <c r="L32" i="23"/>
  <c r="L31" i="23"/>
  <c r="AB27" i="23"/>
  <c r="AB26" i="23"/>
  <c r="AB15" i="23"/>
  <c r="AB14" i="23"/>
  <c r="AB13" i="23"/>
  <c r="X27" i="23"/>
  <c r="X26" i="23"/>
  <c r="X15" i="23"/>
  <c r="X14" i="23"/>
  <c r="X13" i="23"/>
  <c r="T27" i="23"/>
  <c r="T26" i="23"/>
  <c r="T15" i="23"/>
  <c r="T14" i="23"/>
  <c r="T13" i="23"/>
  <c r="P26" i="23"/>
  <c r="P17" i="23"/>
  <c r="P16" i="23"/>
  <c r="P15" i="23"/>
  <c r="P14" i="23"/>
  <c r="P13" i="23"/>
  <c r="P28" i="23" s="1"/>
  <c r="L27" i="23"/>
  <c r="L26" i="23"/>
  <c r="L19" i="23"/>
  <c r="L18" i="23"/>
  <c r="L17" i="23"/>
  <c r="L16" i="23"/>
  <c r="L15" i="23"/>
  <c r="L14" i="23"/>
  <c r="L13" i="23"/>
  <c r="L28" i="23" s="1"/>
  <c r="Z46" i="23"/>
  <c r="AB66" i="23"/>
  <c r="V46" i="23"/>
  <c r="R46" i="23"/>
  <c r="J46" i="23"/>
  <c r="F46" i="23"/>
  <c r="H45" i="23"/>
  <c r="H44" i="23"/>
  <c r="H43" i="23"/>
  <c r="H42" i="23"/>
  <c r="H41" i="23"/>
  <c r="H34" i="23"/>
  <c r="H33" i="23"/>
  <c r="H32" i="23"/>
  <c r="H31" i="23"/>
  <c r="H27" i="23"/>
  <c r="H26" i="23"/>
  <c r="H19" i="23"/>
  <c r="H18" i="23"/>
  <c r="H17" i="23"/>
  <c r="H16" i="23"/>
  <c r="H15" i="23"/>
  <c r="H14" i="23"/>
  <c r="H13" i="23"/>
  <c r="H28" i="23"/>
  <c r="L85" i="16"/>
  <c r="Z28" i="23"/>
  <c r="AB65" i="23"/>
  <c r="L93" i="16"/>
  <c r="V28" i="23"/>
  <c r="X65" i="23"/>
  <c r="R28" i="23"/>
  <c r="T65" i="23"/>
  <c r="N28" i="23"/>
  <c r="P65" i="23"/>
  <c r="J28" i="23"/>
  <c r="L65" i="23"/>
  <c r="F28" i="23"/>
  <c r="H51" i="23" s="1"/>
  <c r="H61" i="23"/>
  <c r="I26" i="21"/>
  <c r="G26" i="21"/>
  <c r="M53" i="21"/>
  <c r="Q53" i="21"/>
  <c r="S51" i="21"/>
  <c r="G113" i="16"/>
  <c r="R53" i="21"/>
  <c r="P53" i="21"/>
  <c r="O53" i="21"/>
  <c r="N53" i="21"/>
  <c r="S53" i="21" s="1"/>
  <c r="G28" i="21"/>
  <c r="S104" i="21"/>
  <c r="S97" i="21"/>
  <c r="I28" i="21"/>
  <c r="H106" i="21"/>
  <c r="G106" i="21"/>
  <c r="J28" i="21"/>
  <c r="H28" i="21"/>
  <c r="H108" i="21" s="1"/>
  <c r="S19" i="21"/>
  <c r="H93" i="16"/>
  <c r="J93" i="16"/>
  <c r="K93" i="16"/>
  <c r="I93" i="16"/>
  <c r="G108" i="21"/>
  <c r="I43" i="1"/>
  <c r="H50" i="23"/>
  <c r="L113" i="16"/>
  <c r="L115" i="16"/>
  <c r="K115" i="16"/>
  <c r="J115" i="16"/>
  <c r="L107" i="16"/>
  <c r="W38" i="23"/>
  <c r="T38" i="23"/>
  <c r="W33" i="23"/>
  <c r="P32" i="23"/>
  <c r="H46" i="23"/>
  <c r="H54" i="23"/>
  <c r="T17" i="23"/>
  <c r="W17" i="23"/>
  <c r="W16" i="23"/>
  <c r="T16" i="23"/>
  <c r="J42" i="16"/>
  <c r="I42" i="16"/>
  <c r="K42" i="16"/>
  <c r="G109" i="16"/>
  <c r="G159" i="16"/>
  <c r="G168" i="16"/>
  <c r="H43" i="1"/>
  <c r="F43" i="1"/>
  <c r="S47" i="21"/>
  <c r="X38" i="23"/>
  <c r="AA38" i="23"/>
  <c r="AB38" i="23"/>
  <c r="X33" i="23"/>
  <c r="AA33" i="23"/>
  <c r="AB33" i="23"/>
  <c r="H52" i="23"/>
  <c r="H53" i="23"/>
  <c r="H62" i="23"/>
  <c r="AA17" i="23"/>
  <c r="AB17" i="23"/>
  <c r="X17" i="23"/>
  <c r="X16" i="23"/>
  <c r="AA16" i="23"/>
  <c r="AB16" i="23"/>
  <c r="H63" i="23"/>
  <c r="H64" i="23"/>
  <c r="K149" i="16"/>
  <c r="L149" i="16"/>
  <c r="I159" i="16"/>
  <c r="K121" i="16"/>
  <c r="L119" i="16"/>
  <c r="L121" i="16"/>
  <c r="I109" i="16"/>
  <c r="I25" i="16"/>
  <c r="Q66" i="21"/>
  <c r="R66" i="21"/>
  <c r="P77" i="21"/>
  <c r="P106" i="21"/>
  <c r="O106" i="21"/>
  <c r="O108" i="21" s="1"/>
  <c r="S66" i="21"/>
  <c r="G128" i="16"/>
  <c r="N77" i="21"/>
  <c r="N106" i="21"/>
  <c r="N108" i="21" s="1"/>
  <c r="G121" i="16"/>
  <c r="R63" i="21"/>
  <c r="R77" i="21"/>
  <c r="Q77" i="21"/>
  <c r="G115" i="16"/>
  <c r="M106" i="21"/>
  <c r="Q35" i="21"/>
  <c r="R33" i="21"/>
  <c r="R35" i="21"/>
  <c r="S33" i="21"/>
  <c r="G95" i="16"/>
  <c r="AA20" i="23"/>
  <c r="AB20" i="23"/>
  <c r="L46" i="23"/>
  <c r="P51" i="23"/>
  <c r="I92" i="16"/>
  <c r="W19" i="23"/>
  <c r="S18" i="23"/>
  <c r="I18" i="16"/>
  <c r="I30" i="16" s="1"/>
  <c r="I53" i="16" s="1"/>
  <c r="I137" i="16" s="1"/>
  <c r="I139" i="16" s="1"/>
  <c r="I162" i="16"/>
  <c r="I168" i="16"/>
  <c r="P66" i="23"/>
  <c r="T66" i="23"/>
  <c r="H18" i="16"/>
  <c r="E41" i="1"/>
  <c r="S77" i="21"/>
  <c r="R106" i="21"/>
  <c r="Q106" i="21"/>
  <c r="S63" i="21"/>
  <c r="G125" i="16"/>
  <c r="G139" i="16"/>
  <c r="S35" i="21"/>
  <c r="G97" i="16"/>
  <c r="AA19" i="23"/>
  <c r="AB19" i="23"/>
  <c r="X19" i="23"/>
  <c r="W18" i="23"/>
  <c r="T18" i="23"/>
  <c r="H162" i="16"/>
  <c r="H168" i="16"/>
  <c r="H17" i="16"/>
  <c r="H30" i="16"/>
  <c r="H53" i="16"/>
  <c r="H137" i="16" s="1"/>
  <c r="G98" i="16"/>
  <c r="G170" i="16"/>
  <c r="X18" i="23"/>
  <c r="AA18" i="23"/>
  <c r="AB18" i="23"/>
  <c r="I41" i="1"/>
  <c r="L17" i="16"/>
  <c r="L30" i="16"/>
  <c r="L53" i="16"/>
  <c r="K18" i="16"/>
  <c r="K17" i="16"/>
  <c r="K162" i="16"/>
  <c r="K168" i="16"/>
  <c r="J25" i="16"/>
  <c r="G41" i="1"/>
  <c r="J18" i="16"/>
  <c r="H139" i="16"/>
  <c r="Q24" i="21"/>
  <c r="P26" i="21"/>
  <c r="M108" i="21"/>
  <c r="J159" i="16"/>
  <c r="K145" i="16"/>
  <c r="X50" i="23"/>
  <c r="K91" i="16"/>
  <c r="X61" i="23"/>
  <c r="T50" i="23"/>
  <c r="J91" i="16"/>
  <c r="T61" i="23"/>
  <c r="T51" i="23"/>
  <c r="J92" i="16"/>
  <c r="P61" i="23"/>
  <c r="P50" i="23"/>
  <c r="I91" i="16"/>
  <c r="W22" i="23"/>
  <c r="L50" i="23"/>
  <c r="H91" i="16"/>
  <c r="L62" i="23"/>
  <c r="L61" i="23"/>
  <c r="H87" i="16"/>
  <c r="H90" i="16"/>
  <c r="AB51" i="23"/>
  <c r="L92" i="16"/>
  <c r="AB50" i="23"/>
  <c r="L91" i="16"/>
  <c r="AB61" i="23"/>
  <c r="X51" i="23"/>
  <c r="K92" i="16"/>
  <c r="X66" i="23"/>
  <c r="W42" i="23"/>
  <c r="T42" i="23"/>
  <c r="P42" i="23"/>
  <c r="L52" i="23"/>
  <c r="L51" i="23"/>
  <c r="H92" i="16"/>
  <c r="H95" i="16" s="1"/>
  <c r="H97" i="16" s="1"/>
  <c r="L53" i="23"/>
  <c r="L66" i="23"/>
  <c r="I87" i="16"/>
  <c r="L162" i="16"/>
  <c r="L168" i="16"/>
  <c r="K30" i="16"/>
  <c r="K53" i="16"/>
  <c r="K137" i="16"/>
  <c r="K139" i="16"/>
  <c r="L137" i="16"/>
  <c r="L139" i="16"/>
  <c r="J162" i="16"/>
  <c r="J168" i="16"/>
  <c r="J17" i="16"/>
  <c r="J30" i="16"/>
  <c r="J53" i="16"/>
  <c r="J137" i="16" s="1"/>
  <c r="J139" i="16"/>
  <c r="E45" i="1"/>
  <c r="Q26" i="21"/>
  <c r="Q28" i="21"/>
  <c r="Q108" i="21"/>
  <c r="R24" i="21"/>
  <c r="R26" i="21"/>
  <c r="R28" i="21"/>
  <c r="R108" i="21"/>
  <c r="P28" i="21"/>
  <c r="L145" i="16"/>
  <c r="L159" i="16"/>
  <c r="K159" i="16"/>
  <c r="J72" i="16"/>
  <c r="J87" i="16"/>
  <c r="J90" i="16"/>
  <c r="J95" i="16"/>
  <c r="J97" i="16"/>
  <c r="AA22" i="23"/>
  <c r="AB22" i="23"/>
  <c r="X22" i="23"/>
  <c r="H88" i="16"/>
  <c r="AA42" i="23"/>
  <c r="AB42" i="23"/>
  <c r="X42" i="23"/>
  <c r="I90" i="16"/>
  <c r="I95" i="16"/>
  <c r="I97" i="16"/>
  <c r="I170" i="16"/>
  <c r="I172" i="16"/>
  <c r="H170" i="16"/>
  <c r="H172" i="16"/>
  <c r="S26" i="21"/>
  <c r="S24" i="21"/>
  <c r="G49" i="16"/>
  <c r="G51" i="16"/>
  <c r="G53" i="16"/>
  <c r="G172" i="16"/>
  <c r="P108" i="21"/>
  <c r="S28" i="21"/>
  <c r="L72" i="16"/>
  <c r="L87" i="16"/>
  <c r="L90" i="16"/>
  <c r="L95" i="16"/>
  <c r="L97" i="16"/>
  <c r="K72" i="16"/>
  <c r="K87" i="16"/>
  <c r="K90" i="16"/>
  <c r="K95" i="16"/>
  <c r="K97" i="16"/>
  <c r="L54" i="23" l="1"/>
  <c r="L63" i="23" s="1"/>
  <c r="L64" i="23" s="1"/>
  <c r="H98" i="16" s="1"/>
  <c r="J106" i="21"/>
  <c r="J108" i="21" s="1"/>
  <c r="L106" i="21"/>
  <c r="L108" i="21" s="1"/>
  <c r="I106" i="21"/>
  <c r="K106" i="21"/>
  <c r="K108" i="21" s="1"/>
  <c r="AA24" i="23"/>
  <c r="AB24" i="23" s="1"/>
  <c r="X24" i="23"/>
  <c r="AA23" i="23"/>
  <c r="AB23" i="23" s="1"/>
  <c r="X23" i="23"/>
  <c r="W21" i="23"/>
  <c r="T21" i="23"/>
  <c r="T28" i="23" s="1"/>
  <c r="W32" i="23"/>
  <c r="T32" i="23"/>
  <c r="S43" i="23"/>
  <c r="P43" i="23"/>
  <c r="S39" i="23"/>
  <c r="P39" i="23"/>
  <c r="S35" i="23"/>
  <c r="P35" i="23"/>
  <c r="P46" i="23" s="1"/>
  <c r="K109" i="16"/>
  <c r="K170" i="16" s="1"/>
  <c r="K172" i="16" s="1"/>
  <c r="L105" i="16"/>
  <c r="L109" i="16" s="1"/>
  <c r="L170" i="16" s="1"/>
  <c r="L172" i="16" s="1"/>
  <c r="J109" i="16"/>
  <c r="J170" i="16" s="1"/>
  <c r="J172" i="16" s="1"/>
  <c r="P52" i="23" l="1"/>
  <c r="P54" i="23"/>
  <c r="P62" i="23"/>
  <c r="P53" i="23"/>
  <c r="W35" i="23"/>
  <c r="T35" i="23"/>
  <c r="W39" i="23"/>
  <c r="T39" i="23"/>
  <c r="W43" i="23"/>
  <c r="T43" i="23"/>
  <c r="T46" i="23"/>
  <c r="AA32" i="23"/>
  <c r="AB32" i="23" s="1"/>
  <c r="X32" i="23"/>
  <c r="T52" i="23"/>
  <c r="T54" i="23"/>
  <c r="T62" i="23"/>
  <c r="T53" i="23"/>
  <c r="AA21" i="23"/>
  <c r="AB21" i="23" s="1"/>
  <c r="AB28" i="23" s="1"/>
  <c r="X21" i="23"/>
  <c r="X28" i="23" s="1"/>
  <c r="I108" i="21"/>
  <c r="S108" i="21" s="1"/>
  <c r="S106" i="21"/>
  <c r="J88" i="16" l="1"/>
  <c r="T63" i="23"/>
  <c r="T64" i="23" s="1"/>
  <c r="J98" i="16" s="1"/>
  <c r="AA43" i="23"/>
  <c r="AB43" i="23" s="1"/>
  <c r="X43" i="23"/>
  <c r="AA39" i="23"/>
  <c r="AB39" i="23" s="1"/>
  <c r="X39" i="23"/>
  <c r="AA35" i="23"/>
  <c r="AB35" i="23" s="1"/>
  <c r="AB46" i="23" s="1"/>
  <c r="X35" i="23"/>
  <c r="X46" i="23" s="1"/>
  <c r="I88" i="16"/>
  <c r="P63" i="23"/>
  <c r="P64" i="23" s="1"/>
  <c r="I98" i="16" s="1"/>
  <c r="X53" i="23" l="1"/>
  <c r="X52" i="23"/>
  <c r="X54" i="23"/>
  <c r="X62" i="23"/>
  <c r="AB54" i="23"/>
  <c r="AB52" i="23"/>
  <c r="AB53" i="23"/>
  <c r="AB62" i="23"/>
  <c r="L88" i="16" l="1"/>
  <c r="AB63" i="23"/>
  <c r="AB64" i="23" s="1"/>
  <c r="L98" i="16" s="1"/>
  <c r="K88" i="16"/>
  <c r="N88" i="16" s="1"/>
  <c r="X63" i="23"/>
  <c r="X64" i="23" s="1"/>
  <c r="K98" i="16" s="1"/>
  <c r="N98" i="16" s="1"/>
</calcChain>
</file>

<file path=xl/sharedStrings.xml><?xml version="1.0" encoding="utf-8"?>
<sst xmlns="http://schemas.openxmlformats.org/spreadsheetml/2006/main" count="762" uniqueCount="607">
  <si>
    <t>Instructions for 5-Year Budget Projections Workbook</t>
  </si>
  <si>
    <t>= Information should be entered into light gray shaded cells.</t>
  </si>
  <si>
    <t>Name of Proposed Charter School:</t>
  </si>
  <si>
    <t>GEO Acadmies - South Bend/Elkhart</t>
  </si>
  <si>
    <t>Planned Opening School Year (YYYY):</t>
  </si>
  <si>
    <t>Planned Location (School Corporation):</t>
  </si>
  <si>
    <t>South Bend Community Sch Corp</t>
  </si>
  <si>
    <t>1. Instructions</t>
  </si>
  <si>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</si>
  <si>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2. Enrollment Projection</t>
  </si>
  <si>
    <t>• Please provide a summary of the school's projected enrollment for the proposed grade span for the next five years.</t>
  </si>
  <si>
    <t>3. Staffing Plan</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</si>
  <si>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</si>
  <si>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4. Year 0 - Budget and Cash Flow</t>
  </si>
  <si>
    <t>• Please provide budget and cash flow projections for the start-up year (Year 0).</t>
  </si>
  <si>
    <t>5. 5-Year Budget</t>
  </si>
  <si>
    <t>• Please provide 5-year budget projections (Year 1 - Year 5). Year 0 data will automatically populate once Tab 4 is completed. Note that the information provided in Tab 3 must align with the personnel expenses provided in Tab 5 or Tab 5 will throw an ERROR.</t>
  </si>
  <si>
    <t>Notes: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</si>
  <si>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</si>
  <si>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Ver. 10.11.2021</t>
  </si>
  <si>
    <t>School Enrollment Projections</t>
  </si>
  <si>
    <t>(must align with Charter Application Enrollment Plan)</t>
  </si>
  <si>
    <t>School Name:</t>
  </si>
  <si>
    <t>Planned Opening Year:</t>
  </si>
  <si>
    <t>REQUIRED</t>
  </si>
  <si>
    <t>Planned Location:</t>
  </si>
  <si>
    <t>Is the proposal for an Adult High School (please see requirements below):</t>
  </si>
  <si>
    <t>Select from drop-down list →</t>
  </si>
  <si>
    <t>Enrollment</t>
  </si>
  <si>
    <t>Year 1</t>
  </si>
  <si>
    <t>Year 2</t>
  </si>
  <si>
    <t>Year 3</t>
  </si>
  <si>
    <t>Year 4</t>
  </si>
  <si>
    <t>Year 5</t>
  </si>
  <si>
    <t>Notes &amp; Definitions</t>
  </si>
  <si>
    <t>Kindergarten</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</si>
  <si>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(2021-23 FY) budget-  Foundation = $5,995 for the 2021-22 SY and $6,235 for the 2022-23 SY (and beyond) and Complexity Multiplier = $3,775. The school's actual distribution will be based on the school's ADM count of eligible pupils enrolled in the school on two count dates (in September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mild/moderate disabilities ($2,657 for the 2022-23 SY). The grant amount for severe disabilities is $10,575 for the 2022-23 SY).
4)  The Adult Learner Grant amount for adult high schools is $6,750. The Adult Distribution is calculated by multiplying Total Enrollment by the Adult Grant. </t>
    </r>
  </si>
  <si>
    <t>Grade 1</t>
  </si>
  <si>
    <t>Grade 2</t>
  </si>
  <si>
    <t>Grade 3</t>
  </si>
  <si>
    <t>Grade 4</t>
  </si>
  <si>
    <t>Grade 5</t>
  </si>
  <si>
    <t>Grade 6</t>
  </si>
  <si>
    <t>Grade 7</t>
  </si>
  <si>
    <t>Grade 8</t>
  </si>
  <si>
    <t>Grade 9</t>
  </si>
  <si>
    <t>Grade 10</t>
  </si>
  <si>
    <t>Grade 11</t>
  </si>
  <si>
    <t>Grade 12</t>
  </si>
  <si>
    <t>Total K-12 Enrollment:</t>
  </si>
  <si>
    <t>Adult Learners (1)</t>
  </si>
  <si>
    <t>Total Adult Enrollment:</t>
  </si>
  <si>
    <t>Estimated % of Students:</t>
  </si>
  <si>
    <t>Special Education</t>
  </si>
  <si>
    <t>English Learners</t>
  </si>
  <si>
    <t>Free/Reduced Priced Lunch</t>
  </si>
  <si>
    <t>Virtual Students (2)</t>
  </si>
  <si>
    <t>K-12 Distribution (3)</t>
  </si>
  <si>
    <t>Adult Distribution (4)</t>
  </si>
  <si>
    <t>5-Year Projected Staffing Plan</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</si>
  <si>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sz val="11"/>
        <rFont val="Calibri"/>
        <family val="2"/>
      </rPr>
      <t>before</t>
    </r>
    <r>
      <rPr>
        <b/>
        <sz val="11"/>
        <rFont val="Calibri"/>
        <family val="2"/>
      </rPr>
      <t xml:space="preserve"> completing the worksheet</t>
    </r>
    <r>
      <rPr>
        <sz val="11"/>
        <rFont val="Calibri"/>
        <family val="2"/>
      </rPr>
      <t>.</t>
    </r>
  </si>
  <si>
    <t>Year 0</t>
  </si>
  <si>
    <t>Number</t>
  </si>
  <si>
    <t>Average Salary (1)</t>
  </si>
  <si>
    <t>Total Expense</t>
  </si>
  <si>
    <t>Average Salary</t>
  </si>
  <si>
    <t>INSTRUCTIONAL STAFF</t>
  </si>
  <si>
    <t>Position (specify)</t>
  </si>
  <si>
    <t>High School Math (Science) Teacher</t>
  </si>
  <si>
    <t>High School ELA (SS) Teacher</t>
  </si>
  <si>
    <t>High School Science Teacher</t>
  </si>
  <si>
    <t>High School Social Studies Teacher</t>
  </si>
  <si>
    <t>Special Education Teacher</t>
  </si>
  <si>
    <t>Classroom Assistant</t>
  </si>
  <si>
    <t>Summer School (hourly)</t>
  </si>
  <si>
    <t xml:space="preserve"> </t>
  </si>
  <si>
    <t>Total Instructional Staff:</t>
  </si>
  <si>
    <t>ADMIN &amp; SUPPORT</t>
  </si>
  <si>
    <t>Principal</t>
  </si>
  <si>
    <t>Assistant Principal</t>
  </si>
  <si>
    <t>Business Manager</t>
  </si>
  <si>
    <t>Registrar</t>
  </si>
  <si>
    <t>Guidance Counselor (In-kind - IvyTech)</t>
  </si>
  <si>
    <t>Social Worker</t>
  </si>
  <si>
    <t>IT Support</t>
  </si>
  <si>
    <t>Total Admin &amp; Support Staff:</t>
  </si>
  <si>
    <t>Rate/Per Employee Expense</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</si>
  <si>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</si>
  <si>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</si>
  <si>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</si>
  <si>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</si>
  <si>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</si>
  <si>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</si>
  <si>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</si>
  <si>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</si>
  <si>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</si>
  <si>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</si>
  <si>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</si>
  <si>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</si>
  <si>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</si>
  <si>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N/A</t>
  </si>
  <si>
    <t>Student/staff ratio</t>
  </si>
  <si>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</si>
  <si>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scheme val="minor"/>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</si>
  <si>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</si>
  <si>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</si>
  <si>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</si>
  <si>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</si>
  <si>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 xml:space="preserve"> Annual Operating Budget and Cash Flow Projections  -- Fiscal Year 0 -- Pre-Opening  Period</t>
  </si>
  <si>
    <t>Special Instructions for Schools Contracting with a Management Company:</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</si>
  <si>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</si>
  <si>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If a line item is completed that includes the words "(please describe)" a specific description of the item must be provided in the appropriate box in Column N on Tab 5.
Failure to provide a description as requested may result in rejection of the submission.</t>
  </si>
  <si>
    <t>REVENUE</t>
  </si>
  <si>
    <t>July</t>
  </si>
  <si>
    <t>August</t>
  </si>
  <si>
    <t>September</t>
  </si>
  <si>
    <t>October</t>
  </si>
  <si>
    <t>November</t>
  </si>
  <si>
    <t>December</t>
  </si>
  <si>
    <t>January</t>
  </si>
  <si>
    <t>February</t>
  </si>
  <si>
    <t>March</t>
  </si>
  <si>
    <t>April</t>
  </si>
  <si>
    <t>May</t>
  </si>
  <si>
    <t>June</t>
  </si>
  <si>
    <t>Year 0 Totals</t>
  </si>
  <si>
    <t>Federal Revenue - See Footnotes</t>
  </si>
  <si>
    <t>Public Charter School Program Grant (1)</t>
  </si>
  <si>
    <t>Other Federal Revenue (please describe on Tab 5)</t>
  </si>
  <si>
    <t>Total Federal Revenue:</t>
  </si>
  <si>
    <t>Other Revenue</t>
  </si>
  <si>
    <t>Contributions and Donations from Private Sources</t>
  </si>
  <si>
    <t>Interest Income</t>
  </si>
  <si>
    <t>Other Revenue (please describe on Tab 5)</t>
  </si>
  <si>
    <t>Total Other Revenue:</t>
  </si>
  <si>
    <t>TOTAL REVENUE:</t>
  </si>
  <si>
    <t>EXPENSES</t>
  </si>
  <si>
    <t>Personnel Expenses</t>
  </si>
  <si>
    <t>Wages, Benefits, &amp; Payroll Taxes</t>
  </si>
  <si>
    <t>Total Personnel Expenses:</t>
  </si>
  <si>
    <t>Instructional Supplies and Resources - See Footnotes</t>
  </si>
  <si>
    <t>Textbooks</t>
  </si>
  <si>
    <t>Library/Media Services (Other than Staff)</t>
  </si>
  <si>
    <t>Technology Supporting Instruction (computers, tablets, etc.)</t>
  </si>
  <si>
    <t>Student Assessment</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</si>
  <si>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</si>
  <si>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</si>
  <si>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</si>
  <si>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</si>
  <si>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</si>
  <si>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</si>
  <si>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</si>
  <si>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 on Tab 5)</t>
  </si>
  <si>
    <t>Total Administrative Resources:</t>
  </si>
  <si>
    <t>Governing Board Expenses</t>
  </si>
  <si>
    <t>Legal Services</t>
  </si>
  <si>
    <t>Other Governing Board Expenses (please describe on Tab 5)</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</si>
  <si>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</si>
  <si>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</si>
  <si>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</si>
  <si>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</si>
  <si>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</si>
  <si>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</si>
  <si>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</si>
  <si>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</si>
  <si>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</si>
  <si>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</si>
  <si>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</si>
  <si>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t>
  </si>
  <si>
    <t>Food Services</t>
  </si>
  <si>
    <t>Transportation Services</t>
  </si>
  <si>
    <t>Marketing Expenses</t>
  </si>
  <si>
    <t>Other Services (please describe on Tab 5)</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</si>
  <si>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</si>
  <si>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</si>
  <si>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</si>
  <si>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</si>
  <si>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</si>
  <si>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</si>
  <si>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</si>
  <si>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</si>
  <si>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</si>
  <si>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</si>
  <si>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</si>
  <si>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</si>
  <si>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</si>
  <si>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</si>
  <si>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suppliesl)</t>
  </si>
  <si>
    <t>Waste Disposal</t>
  </si>
  <si>
    <t>Security Services</t>
  </si>
  <si>
    <t>Other Facility Expenses (please describe)</t>
  </si>
  <si>
    <t>Total Facilities Expenses:</t>
  </si>
  <si>
    <t>Other Expenses - See Footnotes</t>
  </si>
  <si>
    <t>Management Fee (2)</t>
  </si>
  <si>
    <t>Bank Fees</t>
  </si>
  <si>
    <t>Other Expenses (please describe)</t>
  </si>
  <si>
    <t>Total Other Expenses:</t>
  </si>
  <si>
    <t>TOTAL EXPENSES:</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</si>
  <si>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</si>
  <si>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</si>
  <si>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</si>
  <si>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</si>
  <si>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Projected New School Annual Operating Budget  -- YEARS 1 - 5 (Fiscal Year July 1-June 30)</t>
  </si>
  <si>
    <t>REVENUES</t>
  </si>
  <si>
    <t>Additional Information</t>
  </si>
  <si>
    <t>State Revenue - See Footnotes</t>
  </si>
  <si>
    <t>Other State Grants (Row 29)</t>
  </si>
  <si>
    <t>Basic Tuition Support / Adult Grant - From Tab 2</t>
  </si>
  <si>
    <t xml:space="preserve">  </t>
  </si>
  <si>
    <t>Special Education Grant - From Tab 2</t>
  </si>
  <si>
    <t>Honors Diploma Grant</t>
  </si>
  <si>
    <t>CTE Grant</t>
  </si>
  <si>
    <t>Charter and Innovation Network School Grant</t>
  </si>
  <si>
    <t>Formative Assessment Grant</t>
  </si>
  <si>
    <t>State Matching Funds for School Lunch Program</t>
  </si>
  <si>
    <t>High Ability (Gifted and Talented) Program</t>
  </si>
  <si>
    <t>Textbook Reimbursement</t>
  </si>
  <si>
    <t>Remediation Program Grant</t>
  </si>
  <si>
    <t>Teacher Appreciation Grant</t>
  </si>
  <si>
    <t>Other State Grants (please describe) (1)</t>
  </si>
  <si>
    <t>Total State Revenue:</t>
  </si>
  <si>
    <t>Other Federal Revenue (Row 41)</t>
  </si>
  <si>
    <t>Public Charter School Program Grant (2)</t>
  </si>
  <si>
    <t>Charter Facilities Assistance Program Grant (2011)</t>
  </si>
  <si>
    <t>IDEA- Part B Grant (Special Education)</t>
  </si>
  <si>
    <t>Title I</t>
  </si>
  <si>
    <t>Title II</t>
  </si>
  <si>
    <t>Federal Lunch Program</t>
  </si>
  <si>
    <t>Federal Breakfast Reimbursement</t>
  </si>
  <si>
    <t>Other Federal Revenue (please describe)</t>
  </si>
  <si>
    <t>Other Revenue (Row 50)</t>
  </si>
  <si>
    <t>Student Fees</t>
  </si>
  <si>
    <t>Other Fees</t>
  </si>
  <si>
    <t>Other Revenue (please describe)</t>
  </si>
  <si>
    <t>Administrative Staff - See Footnote (3)</t>
  </si>
  <si>
    <t>Executive Administration: Office of Superintendent</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</si>
  <si>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</si>
  <si>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</si>
  <si>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</si>
  <si>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</si>
  <si>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</si>
  <si>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</si>
  <si>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</si>
  <si>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</si>
  <si>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Summer School Staff</t>
  </si>
  <si>
    <t>Non-Instructional/Support Staff - See Footnotes</t>
  </si>
  <si>
    <t>Other Support Staff (Row 78)</t>
  </si>
  <si>
    <t>Social Workers, Guidence Counselors, Therapists</t>
  </si>
  <si>
    <t>Instructional Support Staff (4)</t>
  </si>
  <si>
    <t>Other Support Staff (please describe) (5)</t>
  </si>
  <si>
    <t>Nurse</t>
  </si>
  <si>
    <t>Librarian</t>
  </si>
  <si>
    <t>Information Technology</t>
  </si>
  <si>
    <t>Maintenance of Buildings, Grounds, Equipment (including Custodial Staff)</t>
  </si>
  <si>
    <t>Security Personnel</t>
  </si>
  <si>
    <t>Athletic Coaches</t>
  </si>
  <si>
    <t>Total Non-Instructional/Support Staff:</t>
  </si>
  <si>
    <t>Subtotal Wages and Salaries:</t>
  </si>
  <si>
    <t>Payroll Taxes and Benefits - From Tab 3</t>
  </si>
  <si>
    <t>Other Compensation (Row 94)</t>
  </si>
  <si>
    <t>Social Security/Medicare/Unemployment</t>
  </si>
  <si>
    <t>Health Insurance</t>
  </si>
  <si>
    <t>Retirement Contributions</t>
  </si>
  <si>
    <t>Other Compensation (please describe)</t>
  </si>
  <si>
    <t>Total Payroll Taxes and Benefits:</t>
  </si>
  <si>
    <t>Other Instructional Supplies and Resources (Row 108)</t>
  </si>
  <si>
    <t>Classroom supplies</t>
  </si>
  <si>
    <t>Other Administrative Expenses (Row 114)</t>
  </si>
  <si>
    <t xml:space="preserve"> Office Supplies</t>
  </si>
  <si>
    <t>Other Administrative Expenses (please describe)</t>
  </si>
  <si>
    <t>Other Governing Board Expenses (Row 120)</t>
  </si>
  <si>
    <t>Other:  Travel</t>
  </si>
  <si>
    <t>Other Governing Board Expenses (please describe)</t>
  </si>
  <si>
    <t>Other Services (Row 138)</t>
  </si>
  <si>
    <t>Other Services (please describe)</t>
  </si>
  <si>
    <t>Lease, Mortgage, &amp; Other Facilities (Rows 143, 158)</t>
  </si>
  <si>
    <t>Other Expenses (Row 167)</t>
  </si>
  <si>
    <t>Indiana Charter School Board Administrative Fee (6)</t>
  </si>
  <si>
    <t>Management Fee (7)</t>
  </si>
  <si>
    <t>Escrow</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</si>
  <si>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</si>
  <si>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(2) This is a competitive grant. Funding is not guaranteed. The funding for the PCSP grant is distributed through a reimbursement process. Contact IDOE's Office of Title Grants and Support for more information.</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</si>
  <si>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</si>
  <si>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</si>
  <si>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</si>
  <si>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</si>
  <si>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</si>
  <si>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</si>
  <si>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</si>
  <si>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</si>
  <si>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</si>
  <si>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</si>
  <si>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</si>
  <si>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</si>
  <si>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</si>
  <si>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</si>
  <si>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t>All Grant amounts are from 2021 Biennial Budget. Complexity Index Data (Columns D &amp; F) are taken from LSA Budget Projections Run (04/19/21).
Over the biennium, Column E (FY 22) is used for Current Year and Column G (FY 23) is used for Years 1-5.</t>
  </si>
  <si>
    <t>INDEXES ADJUSTED (for FY 2022 &amp; FY 2023): IPS, Gary, SB, Fort Wayne, Elkhart</t>
  </si>
  <si>
    <t>Data Validation List (Complexity)</t>
  </si>
  <si>
    <t>School Corporation</t>
  </si>
  <si>
    <t>FY 22 Index</t>
  </si>
  <si>
    <t>FY 22 $/ADM</t>
  </si>
  <si>
    <t>FY 23 Index2</t>
  </si>
  <si>
    <t>FY 23 $/ADM</t>
  </si>
  <si>
    <r>
      <t xml:space="preserve">Select from drop-down list </t>
    </r>
    <r>
      <rPr>
        <sz val="10"/>
        <color indexed="8"/>
        <rFont val="Calibri"/>
        <family val="2"/>
      </rPr>
      <t>→</t>
    </r>
  </si>
  <si>
    <t>Grants</t>
  </si>
  <si>
    <t>FY 2022</t>
  </si>
  <si>
    <t>FY 2023</t>
  </si>
  <si>
    <t>Adams Central Community Schools</t>
  </si>
  <si>
    <t>Foundation Amount:</t>
  </si>
  <si>
    <t>Alexandria Com School Corp</t>
  </si>
  <si>
    <t>Complexity Multiplier:</t>
  </si>
  <si>
    <t>Anderson Community School Corp</t>
  </si>
  <si>
    <t>ELL Adjustment:</t>
  </si>
  <si>
    <t xml:space="preserve">     (not currently calculated - See IC 20-43-6-3(b) STEP 4)</t>
  </si>
  <si>
    <t>Argos Community Schools</t>
  </si>
  <si>
    <t>Sped Grant (mild/mod):</t>
  </si>
  <si>
    <t xml:space="preserve">     (not calculated for severe disabilities - See IC 20-43-7-6)</t>
  </si>
  <si>
    <t>Attica Consolidated Sch Corp</t>
  </si>
  <si>
    <t>Adult Grant:</t>
  </si>
  <si>
    <t>Avon Community School Corp</t>
  </si>
  <si>
    <t>Barr-Reeve Com Schools Inc</t>
  </si>
  <si>
    <t>$/ADM = "Foundation Amount" + ("Complexity Multiplier" * "Complexity Index")</t>
  </si>
  <si>
    <t>Bartholomew Con School Corp</t>
  </si>
  <si>
    <t>Batesville Community Sch Corp</t>
  </si>
  <si>
    <t>Baugo Community Schools</t>
  </si>
  <si>
    <t>Adult High School?</t>
  </si>
  <si>
    <t>Beech Grove City Schools</t>
  </si>
  <si>
    <t>Benton Community School Corp</t>
  </si>
  <si>
    <t>Yes</t>
  </si>
  <si>
    <t>Blackford County Schools</t>
  </si>
  <si>
    <t>No</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</si>
  <si>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</si>
  <si>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</si>
  <si>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</si>
  <si>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</si>
  <si>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</si>
  <si>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</si>
  <si>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</si>
  <si>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</si>
  <si>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</si>
  <si>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</si>
  <si>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</si>
  <si>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</si>
  <si>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</si>
  <si>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</si>
  <si>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</si>
  <si>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</si>
  <si>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</si>
  <si>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</si>
  <si>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</si>
  <si>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</si>
  <si>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</si>
  <si>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</si>
  <si>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</si>
  <si>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</si>
  <si>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</si>
  <si>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</si>
  <si>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</si>
  <si>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</si>
  <si>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</si>
  <si>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</si>
  <si>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</si>
  <si>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</si>
  <si>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</si>
  <si>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</si>
  <si>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</si>
  <si>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</si>
  <si>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</si>
  <si>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</si>
  <si>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</si>
  <si>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</si>
  <si>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</si>
  <si>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</si>
  <si>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</si>
  <si>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</si>
  <si>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</si>
  <si>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</si>
  <si>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</si>
  <si>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</si>
  <si>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</si>
  <si>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</si>
  <si>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</si>
  <si>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</si>
  <si>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</si>
  <si>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</si>
  <si>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</si>
  <si>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</si>
  <si>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</si>
  <si>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</si>
  <si>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</si>
  <si>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</si>
  <si>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</si>
  <si>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</si>
  <si>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</si>
  <si>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</si>
  <si>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</si>
  <si>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</si>
  <si>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</si>
  <si>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</si>
  <si>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</si>
  <si>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</si>
  <si>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</si>
  <si>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</si>
  <si>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</si>
  <si>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</si>
  <si>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</si>
  <si>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</si>
  <si>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</si>
  <si>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</si>
  <si>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</si>
  <si>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</si>
  <si>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</si>
  <si>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</si>
  <si>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</si>
  <si>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</si>
  <si>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</si>
  <si>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</si>
  <si>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</si>
  <si>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</si>
  <si>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</si>
  <si>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</si>
  <si>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</si>
  <si>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</si>
  <si>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</si>
  <si>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</si>
  <si>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Lewis Cass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</si>
  <si>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</si>
  <si>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</si>
  <si>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</si>
  <si>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</si>
  <si>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</si>
  <si>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</si>
  <si>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</si>
  <si>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</si>
  <si>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</si>
  <si>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</si>
  <si>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</si>
  <si>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</si>
  <si>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</si>
  <si>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</si>
  <si>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</si>
  <si>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</si>
  <si>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</si>
  <si>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</si>
  <si>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</si>
  <si>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</si>
  <si>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</si>
  <si>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</si>
  <si>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</si>
  <si>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</si>
  <si>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</si>
  <si>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</si>
  <si>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</si>
  <si>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</si>
  <si>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</si>
  <si>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</si>
  <si>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</si>
  <si>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</si>
  <si>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</si>
  <si>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</si>
  <si>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</si>
  <si>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</si>
  <si>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</si>
  <si>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</si>
  <si>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</si>
  <si>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</si>
  <si>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</si>
  <si>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</si>
  <si>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</si>
  <si>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</si>
  <si>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</si>
  <si>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</si>
  <si>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</si>
  <si>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</si>
  <si>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</si>
  <si>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</si>
  <si>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</si>
  <si>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</si>
  <si>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</si>
  <si>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</si>
  <si>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</si>
  <si>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</si>
  <si>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</si>
  <si>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</si>
  <si>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</si>
  <si>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</si>
  <si>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</si>
  <si>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</si>
  <si>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</si>
  <si>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</si>
  <si>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</si>
  <si>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</si>
  <si>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</si>
  <si>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</si>
  <si>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</si>
  <si>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</si>
  <si>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</si>
  <si>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</si>
  <si>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</si>
  <si>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</si>
  <si>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</si>
  <si>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</si>
  <si>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</si>
  <si>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</si>
  <si>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</si>
  <si>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</si>
  <si>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</si>
  <si>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</si>
  <si>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</si>
  <si>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</si>
  <si>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</si>
  <si>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</si>
  <si>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</si>
  <si>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</si>
  <si>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</si>
  <si>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</si>
  <si>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</si>
  <si>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</si>
  <si>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</si>
  <si>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</si>
  <si>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</si>
  <si>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</si>
  <si>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</si>
  <si>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</si>
  <si>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</si>
  <si>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</si>
  <si>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</si>
  <si>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</si>
  <si>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</si>
  <si>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</si>
  <si>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</si>
  <si>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</si>
  <si>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</si>
  <si>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</si>
  <si>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</si>
  <si>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</si>
  <si>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</si>
  <si>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</si>
  <si>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</si>
  <si>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</si>
  <si>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</si>
  <si>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</si>
  <si>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</si>
  <si>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</si>
  <si>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</si>
  <si>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</si>
  <si>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</si>
  <si>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</si>
  <si>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</si>
  <si>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</si>
  <si>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</si>
  <si>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</si>
  <si>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</si>
  <si>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</si>
  <si>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</si>
  <si>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</si>
  <si>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</si>
  <si>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</si>
  <si>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</si>
  <si>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</si>
  <si>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</si>
  <si>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</si>
  <si>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</si>
  <si>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</si>
  <si>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</si>
  <si>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</si>
  <si>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</si>
  <si>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</si>
  <si>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</si>
  <si>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</si>
  <si>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</si>
  <si>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</si>
  <si>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</si>
  <si>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</si>
  <si>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</si>
  <si>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</si>
  <si>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</si>
  <si>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</si>
  <si>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</si>
  <si>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</si>
  <si>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</si>
  <si>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</si>
  <si>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</si>
  <si>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</si>
  <si>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</si>
  <si>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</si>
  <si>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</si>
  <si>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</si>
  <si>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</si>
  <si>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</si>
  <si>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</si>
  <si>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</si>
  <si>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</si>
  <si>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</si>
  <si>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</si>
  <si>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</si>
  <si>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</si>
  <si>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</si>
  <si>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</si>
  <si>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</si>
  <si>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</si>
  <si>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</si>
  <si>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</si>
  <si>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</si>
  <si>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Yorktown Community Schools</t>
  </si>
  <si>
    <t>Zionsville Community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</si>
</sst>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s>
  <fonts count="51">
    <font>
      <sz val="11"/>
      <color theme="1"/>
      <name val="Calibri"/>
      <family val="2"/>
      <scheme val="minor"/>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0"/>
      <color rgb="FFFF0000"/>
      <name val="Calibri"/>
      <family val="2"/>
      <scheme val="minor"/>
    </font>
    <font>
      <b/>
      <sz val="10"/>
      <color rgb="FFFF0000"/>
      <name val="Calibri"/>
      <family val="2"/>
      <scheme val="minor"/>
    </font>
    <font>
      <sz val="14"/>
      <color theme="1"/>
      <name val="Calibri"/>
      <family val="2"/>
    </font>
    <font>
      <b/>
      <sz val="14"/>
      <color theme="1"/>
      <name val="Calibri"/>
      <family val="2"/>
    </font>
    <font>
      <u/>
      <sz val="11"/>
      <name val="Calibri"/>
      <family val="2"/>
      <scheme val="minor"/>
    </font>
    <font>
      <b/>
      <u/>
      <sz val="11"/>
      <color theme="1"/>
      <name val="Calibri"/>
      <family val="2"/>
      <scheme val="minor"/>
    </font>
    <font>
      <b/>
      <sz val="12"/>
      <color theme="1"/>
      <name val="Calibri"/>
      <family val="2"/>
      <scheme val="minor"/>
    </font>
    <font>
      <b/>
      <u/>
      <sz val="10"/>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 fillId="0" borderId="0"/>
    <xf numFmtId="0" fontId="4" fillId="0" borderId="0"/>
  </cellStyleXfs>
  <cellXfs count="630">
    <xf numFmtId="0" fontId="0" fillId="0" borderId="0" xfId="0"/>
    <xf numFmtId="0" fontId="17" fillId="0" borderId="0" xfId="0" applyFont="1" applyAlignment="1">
      <alignment horizontal="center" vertical="center"/>
    </xf>
    <xf numFmtId="49" fontId="18" fillId="0" borderId="0" xfId="0" applyNumberFormat="1" applyFont="1" applyAlignment="1">
      <alignment vertical="center"/>
    </xf>
    <xf numFmtId="0" fontId="18" fillId="0" borderId="0" xfId="0" applyFont="1" applyAlignment="1">
      <alignment vertical="center"/>
    </xf>
    <xf numFmtId="0" fontId="18"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0" xfId="0" applyFont="1" applyFill="1" applyAlignment="1">
      <alignment horizontal="center" vertical="center"/>
    </xf>
    <xf numFmtId="0" fontId="17" fillId="4" borderId="2" xfId="0" applyFont="1" applyFill="1" applyBorder="1" applyAlignment="1">
      <alignment horizontal="center" vertical="center"/>
    </xf>
    <xf numFmtId="0" fontId="17" fillId="4" borderId="2" xfId="0" applyFont="1" applyFill="1" applyBorder="1" applyAlignment="1">
      <alignment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applyAlignment="1">
      <alignment horizontal="center" vertical="center"/>
    </xf>
    <xf numFmtId="44" fontId="20" fillId="4" borderId="7" xfId="0" applyNumberFormat="1" applyFont="1" applyFill="1" applyBorder="1" applyAlignment="1">
      <alignment horizontal="center" vertical="center"/>
    </xf>
    <xf numFmtId="44" fontId="20" fillId="4" borderId="9" xfId="0" applyNumberFormat="1" applyFont="1" applyFill="1" applyBorder="1" applyAlignment="1">
      <alignment horizontal="center" vertical="center"/>
    </xf>
    <xf numFmtId="164" fontId="20" fillId="4" borderId="9" xfId="2" applyNumberFormat="1" applyFont="1" applyFill="1" applyBorder="1" applyAlignment="1" applyProtection="1">
      <alignment horizontal="center" vertical="center" wrapText="1"/>
    </xf>
    <xf numFmtId="0" fontId="15" fillId="4" borderId="10" xfId="0" applyFont="1" applyFill="1" applyBorder="1" applyAlignment="1">
      <alignment horizontal="right" vertical="center"/>
    </xf>
    <xf numFmtId="0" fontId="18" fillId="0" borderId="0" xfId="0" applyFont="1" applyAlignment="1">
      <alignment vertical="center" wrapText="1"/>
    </xf>
    <xf numFmtId="0" fontId="18" fillId="4" borderId="11" xfId="0" applyFont="1" applyFill="1" applyBorder="1" applyAlignment="1">
      <alignment vertical="center"/>
    </xf>
    <xf numFmtId="0" fontId="18" fillId="4" borderId="12" xfId="0" applyFont="1" applyFill="1" applyBorder="1" applyAlignment="1">
      <alignment vertical="center"/>
    </xf>
    <xf numFmtId="0" fontId="18" fillId="4" borderId="13" xfId="0" applyFont="1" applyFill="1" applyBorder="1" applyAlignment="1">
      <alignment vertical="center"/>
    </xf>
    <xf numFmtId="0" fontId="18" fillId="4" borderId="14" xfId="0" applyFont="1" applyFill="1" applyBorder="1" applyAlignment="1">
      <alignment vertical="center"/>
    </xf>
    <xf numFmtId="0" fontId="20" fillId="4" borderId="15" xfId="0" applyFont="1" applyFill="1" applyBorder="1" applyAlignment="1">
      <alignment horizontal="center" vertical="center"/>
    </xf>
    <xf numFmtId="44" fontId="18" fillId="4" borderId="16" xfId="0" applyNumberFormat="1" applyFont="1" applyFill="1" applyBorder="1" applyAlignment="1">
      <alignment vertical="center"/>
    </xf>
    <xf numFmtId="44" fontId="18" fillId="4" borderId="7" xfId="0" applyNumberFormat="1" applyFont="1" applyFill="1" applyBorder="1" applyAlignment="1">
      <alignment vertical="center"/>
    </xf>
    <xf numFmtId="0" fontId="18" fillId="4" borderId="0" xfId="0" applyFont="1" applyFill="1" applyAlignment="1">
      <alignment vertical="center"/>
    </xf>
    <xf numFmtId="0" fontId="20" fillId="4" borderId="1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4" xfId="0" applyFont="1" applyFill="1" applyBorder="1" applyAlignment="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lignment vertical="center"/>
    </xf>
    <xf numFmtId="44" fontId="18" fillId="4" borderId="9" xfId="0" applyNumberFormat="1" applyFont="1" applyFill="1" applyBorder="1" applyAlignment="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lignment horizontal="left" vertical="center"/>
    </xf>
    <xf numFmtId="44" fontId="18" fillId="4" borderId="19" xfId="0" applyNumberFormat="1" applyFont="1" applyFill="1" applyBorder="1" applyAlignment="1">
      <alignment horizontal="left" vertical="center"/>
    </xf>
    <xf numFmtId="44" fontId="18" fillId="4" borderId="20" xfId="0" applyNumberFormat="1" applyFont="1" applyFill="1" applyBorder="1" applyAlignment="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lignment horizontal="left" vertical="center"/>
    </xf>
    <xf numFmtId="44" fontId="18" fillId="4" borderId="9" xfId="0" applyNumberFormat="1" applyFont="1" applyFill="1" applyBorder="1" applyAlignment="1">
      <alignment horizontal="left" vertical="center"/>
    </xf>
    <xf numFmtId="44" fontId="18" fillId="4" borderId="10" xfId="0" applyNumberFormat="1" applyFont="1" applyFill="1" applyBorder="1" applyAlignment="1">
      <alignment vertical="center"/>
    </xf>
    <xf numFmtId="44" fontId="22" fillId="4" borderId="16" xfId="1" applyNumberFormat="1" applyFont="1" applyFill="1" applyBorder="1" applyAlignment="1" applyProtection="1">
      <alignment horizontal="left" vertical="center"/>
    </xf>
    <xf numFmtId="0" fontId="0" fillId="4" borderId="0" xfId="0" applyFill="1" applyAlignment="1">
      <alignment vertical="center"/>
    </xf>
    <xf numFmtId="0" fontId="0" fillId="4" borderId="1" xfId="0" applyFill="1" applyBorder="1" applyAlignment="1">
      <alignment vertical="center"/>
    </xf>
    <xf numFmtId="0" fontId="0" fillId="4" borderId="21" xfId="0" applyFill="1" applyBorder="1" applyAlignment="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22" fillId="0" borderId="0" xfId="0" applyFont="1" applyAlignment="1">
      <alignment vertical="center"/>
    </xf>
    <xf numFmtId="0" fontId="18" fillId="6" borderId="37" xfId="0" applyFont="1" applyFill="1" applyBorder="1" applyAlignment="1">
      <alignment vertical="center"/>
    </xf>
    <xf numFmtId="0" fontId="20" fillId="4" borderId="3" xfId="0" applyFont="1" applyFill="1" applyBorder="1"/>
    <xf numFmtId="49" fontId="18" fillId="4" borderId="7" xfId="0" applyNumberFormat="1" applyFont="1" applyFill="1" applyBorder="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Font="1" applyFill="1" applyBorder="1"/>
    <xf numFmtId="49" fontId="18" fillId="4" borderId="0" xfId="0" applyNumberFormat="1" applyFont="1" applyFill="1"/>
    <xf numFmtId="0" fontId="18" fillId="4" borderId="0" xfId="0" applyFont="1" applyFill="1" applyAlignment="1">
      <alignment horizontal="center" vertical="center"/>
    </xf>
    <xf numFmtId="0" fontId="18" fillId="4" borderId="0" xfId="0" applyFont="1" applyFill="1"/>
    <xf numFmtId="0" fontId="18" fillId="4" borderId="9" xfId="0" applyFont="1" applyFill="1" applyBorder="1"/>
    <xf numFmtId="0" fontId="20" fillId="4" borderId="5" xfId="0" applyFont="1" applyFill="1" applyBorder="1"/>
    <xf numFmtId="49" fontId="18" fillId="4" borderId="10" xfId="0" applyNumberFormat="1" applyFont="1" applyFill="1" applyBorder="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0" fontId="17" fillId="0" borderId="0" xfId="0" applyFont="1" applyAlignment="1">
      <alignment vertical="center"/>
    </xf>
    <xf numFmtId="0" fontId="17" fillId="4" borderId="0" xfId="0" applyFont="1" applyFill="1" applyAlignment="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Alignment="1">
      <alignment vertical="center"/>
    </xf>
    <xf numFmtId="44" fontId="18" fillId="0" borderId="0" xfId="0" applyNumberFormat="1" applyFont="1" applyAlignment="1">
      <alignment vertical="center"/>
    </xf>
    <xf numFmtId="0" fontId="23" fillId="7" borderId="0" xfId="0" applyFont="1" applyFill="1" applyAlignment="1">
      <alignment horizontal="center" vertical="center" wrapText="1"/>
    </xf>
    <xf numFmtId="2" fontId="22" fillId="0" borderId="0" xfId="0" applyNumberFormat="1" applyFont="1" applyAlignment="1">
      <alignment horizontal="center" vertical="center"/>
    </xf>
    <xf numFmtId="167" fontId="18" fillId="6" borderId="0" xfId="0" applyNumberFormat="1" applyFont="1" applyFill="1" applyAlignment="1">
      <alignment horizontal="center" vertical="center"/>
    </xf>
    <xf numFmtId="167" fontId="18" fillId="0" borderId="0" xfId="0" applyNumberFormat="1" applyFont="1" applyAlignment="1">
      <alignment vertical="center"/>
    </xf>
    <xf numFmtId="2" fontId="18" fillId="6" borderId="0" xfId="0" applyNumberFormat="1" applyFont="1" applyFill="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39" xfId="0" applyFont="1" applyBorder="1" applyAlignment="1">
      <alignment horizontal="left" vertical="center"/>
    </xf>
    <xf numFmtId="168" fontId="25" fillId="0" borderId="0" xfId="0" applyNumberFormat="1" applyFont="1" applyAlignment="1">
      <alignment horizontal="center" vertical="center" wrapText="1"/>
    </xf>
    <xf numFmtId="0" fontId="25" fillId="0" borderId="0" xfId="0" applyFont="1" applyAlignment="1">
      <alignment horizontal="left" vertical="top"/>
    </xf>
    <xf numFmtId="44" fontId="22" fillId="0" borderId="0" xfId="6" applyNumberFormat="1" applyFont="1" applyAlignment="1">
      <alignment horizontal="center" vertical="center"/>
    </xf>
    <xf numFmtId="44" fontId="18" fillId="4" borderId="2" xfId="0" applyNumberFormat="1" applyFont="1" applyFill="1" applyBorder="1" applyAlignment="1">
      <alignment vertical="center"/>
    </xf>
    <xf numFmtId="0" fontId="22" fillId="0" borderId="0" xfId="0" applyFont="1" applyAlignment="1">
      <alignment horizontal="center" vertical="center"/>
    </xf>
    <xf numFmtId="0" fontId="23" fillId="7" borderId="0" xfId="0" applyFont="1" applyFill="1" applyAlignment="1">
      <alignment horizontal="center" vertical="center"/>
    </xf>
    <xf numFmtId="0" fontId="25" fillId="0" borderId="0" xfId="0" applyFont="1" applyAlignment="1">
      <alignment horizontal="center" vertical="top"/>
    </xf>
    <xf numFmtId="169" fontId="25" fillId="0" borderId="0" xfId="0" applyNumberFormat="1" applyFont="1" applyAlignment="1">
      <alignment horizontal="center" vertical="top"/>
    </xf>
    <xf numFmtId="0" fontId="18" fillId="4" borderId="2" xfId="0" applyFont="1" applyFill="1" applyBorder="1" applyAlignment="1">
      <alignment horizontal="left" vertical="center"/>
    </xf>
    <xf numFmtId="0" fontId="15" fillId="0" borderId="0" xfId="0" applyFont="1" applyAlignment="1">
      <alignment horizontal="center" vertical="center"/>
    </xf>
    <xf numFmtId="0" fontId="15" fillId="4" borderId="7" xfId="0" applyFont="1" applyFill="1" applyBorder="1" applyAlignment="1">
      <alignment horizontal="center" vertical="center"/>
    </xf>
    <xf numFmtId="0" fontId="0" fillId="4" borderId="16" xfId="0" applyFill="1" applyBorder="1" applyAlignment="1">
      <alignment vertical="center"/>
    </xf>
    <xf numFmtId="0" fontId="0" fillId="4" borderId="7" xfId="0" applyFill="1" applyBorder="1" applyAlignment="1">
      <alignment vertical="center"/>
    </xf>
    <xf numFmtId="0" fontId="15" fillId="4" borderId="9" xfId="0" applyFont="1" applyFill="1" applyBorder="1" applyAlignment="1">
      <alignment horizontal="right" vertical="center"/>
    </xf>
    <xf numFmtId="0" fontId="15" fillId="4" borderId="0" xfId="0" applyFont="1" applyFill="1" applyAlignment="1">
      <alignment horizontal="right" vertical="center"/>
    </xf>
    <xf numFmtId="0" fontId="0" fillId="4" borderId="10" xfId="0" applyFill="1" applyBorder="1" applyAlignment="1">
      <alignment vertical="center"/>
    </xf>
    <xf numFmtId="0" fontId="20" fillId="0" borderId="0" xfId="0" applyFont="1" applyAlignment="1">
      <alignment horizontal="center" vertical="center"/>
    </xf>
    <xf numFmtId="0" fontId="18" fillId="4" borderId="0" xfId="0" applyFont="1" applyFill="1" applyAlignment="1">
      <alignment vertical="center" wrapText="1"/>
    </xf>
    <xf numFmtId="0" fontId="18" fillId="4" borderId="10" xfId="0" applyFont="1" applyFill="1" applyBorder="1" applyAlignment="1">
      <alignment vertical="center"/>
    </xf>
    <xf numFmtId="0" fontId="6" fillId="0" borderId="0" xfId="6" applyFont="1"/>
    <xf numFmtId="0" fontId="26" fillId="0" borderId="0" xfId="0" applyFont="1"/>
    <xf numFmtId="0" fontId="27" fillId="0" borderId="0" xfId="0" applyFont="1"/>
    <xf numFmtId="0" fontId="6" fillId="4" borderId="11" xfId="6" applyFont="1" applyFill="1" applyBorder="1"/>
    <xf numFmtId="0" fontId="6" fillId="4" borderId="8" xfId="6" applyFont="1" applyFill="1" applyBorder="1"/>
    <xf numFmtId="0" fontId="6" fillId="4" borderId="12" xfId="6" applyFont="1" applyFill="1" applyBorder="1"/>
    <xf numFmtId="0" fontId="6" fillId="4" borderId="13" xfId="6" applyFont="1" applyFill="1" applyBorder="1"/>
    <xf numFmtId="0" fontId="6" fillId="4" borderId="14" xfId="6" applyFont="1" applyFill="1" applyBorder="1"/>
    <xf numFmtId="0" fontId="6" fillId="5" borderId="18" xfId="6" applyFont="1" applyFill="1" applyBorder="1"/>
    <xf numFmtId="0" fontId="6" fillId="4" borderId="0" xfId="6" quotePrefix="1" applyFont="1" applyFill="1" applyAlignment="1">
      <alignment vertical="center"/>
    </xf>
    <xf numFmtId="0" fontId="6" fillId="4" borderId="0" xfId="6" applyFont="1" applyFill="1" applyAlignment="1">
      <alignment wrapText="1"/>
    </xf>
    <xf numFmtId="0" fontId="6" fillId="4" borderId="0" xfId="6" applyFont="1" applyFill="1" applyAlignment="1">
      <alignment horizontal="center"/>
    </xf>
    <xf numFmtId="0" fontId="6" fillId="4" borderId="0" xfId="6" applyFont="1" applyFill="1"/>
    <xf numFmtId="0" fontId="6" fillId="0" borderId="0" xfId="0" applyFont="1" applyAlignment="1">
      <alignment horizontal="left"/>
    </xf>
    <xf numFmtId="0" fontId="28" fillId="4" borderId="0" xfId="6" applyFont="1" applyFill="1" applyAlignment="1">
      <alignment horizontal="right" vertical="center"/>
    </xf>
    <xf numFmtId="0" fontId="6" fillId="5" borderId="10" xfId="6" applyFont="1" applyFill="1" applyBorder="1" applyAlignment="1" applyProtection="1">
      <alignment horizontal="left" vertical="center"/>
      <protection locked="0"/>
    </xf>
    <xf numFmtId="0" fontId="6" fillId="5" borderId="16" xfId="6" applyFont="1" applyFill="1" applyBorder="1" applyAlignment="1" applyProtection="1">
      <alignment horizontal="left" vertical="center"/>
      <protection locked="0"/>
    </xf>
    <xf numFmtId="0" fontId="7" fillId="4" borderId="0" xfId="6" quotePrefix="1" applyFont="1" applyFill="1" applyAlignment="1">
      <alignment horizontal="left"/>
    </xf>
    <xf numFmtId="0" fontId="21" fillId="4" borderId="0" xfId="6" applyFont="1" applyFill="1"/>
    <xf numFmtId="0" fontId="6" fillId="4" borderId="10" xfId="6" applyFont="1" applyFill="1" applyBorder="1"/>
    <xf numFmtId="0" fontId="6" fillId="4" borderId="0" xfId="6" quotePrefix="1" applyFont="1" applyFill="1" applyAlignment="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lignment horizontal="left" vertical="center" wrapText="1" indent="1"/>
    </xf>
    <xf numFmtId="0" fontId="6" fillId="0" borderId="0" xfId="6" applyFont="1" applyAlignment="1">
      <alignment vertical="center"/>
    </xf>
    <xf numFmtId="0" fontId="6" fillId="4" borderId="13" xfId="6" applyFont="1" applyFill="1" applyBorder="1" applyAlignment="1">
      <alignment vertical="center"/>
    </xf>
    <xf numFmtId="0" fontId="6" fillId="4" borderId="0" xfId="6" quotePrefix="1" applyFont="1" applyFill="1" applyAlignment="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lignment vertical="center"/>
    </xf>
    <xf numFmtId="0" fontId="26" fillId="0" borderId="0" xfId="0" applyFont="1" applyAlignment="1">
      <alignment vertical="center"/>
    </xf>
    <xf numFmtId="0" fontId="6" fillId="0" borderId="0" xfId="0" applyFont="1" applyAlignment="1">
      <alignment horizontal="left" vertical="center"/>
    </xf>
    <xf numFmtId="0" fontId="6" fillId="4" borderId="0" xfId="6" applyFont="1" applyFill="1" applyAlignment="1">
      <alignment vertical="center"/>
    </xf>
    <xf numFmtId="0" fontId="29" fillId="4" borderId="18" xfId="4" applyFont="1" applyFill="1" applyBorder="1" applyAlignment="1" applyProtection="1">
      <alignment vertical="top"/>
      <protection locked="0"/>
    </xf>
    <xf numFmtId="0" fontId="6" fillId="0" borderId="0" xfId="0" applyFont="1" applyAlignment="1">
      <alignment horizontal="left" vertical="top" wrapText="1"/>
    </xf>
    <xf numFmtId="0" fontId="21" fillId="4" borderId="18" xfId="6" applyFont="1" applyFill="1" applyBorder="1" applyAlignment="1">
      <alignment vertical="top"/>
    </xf>
    <xf numFmtId="0" fontId="30" fillId="4" borderId="0" xfId="4" applyFont="1" applyFill="1" applyAlignment="1" applyProtection="1"/>
    <xf numFmtId="0" fontId="6" fillId="4" borderId="0" xfId="6" quotePrefix="1" applyFont="1" applyFill="1" applyAlignment="1">
      <alignment horizontal="left" vertical="top" wrapText="1"/>
    </xf>
    <xf numFmtId="0" fontId="6" fillId="4" borderId="6" xfId="6" applyFont="1" applyFill="1" applyBorder="1"/>
    <xf numFmtId="0" fontId="6" fillId="4" borderId="1" xfId="6" applyFont="1" applyFill="1" applyBorder="1" applyAlignment="1">
      <alignment wrapText="1"/>
    </xf>
    <xf numFmtId="0" fontId="6" fillId="4" borderId="1" xfId="6" applyFont="1" applyFill="1" applyBorder="1"/>
    <xf numFmtId="0" fontId="6" fillId="4" borderId="21" xfId="6" applyFont="1" applyFill="1" applyBorder="1" applyAlignment="1">
      <alignment horizontal="right"/>
    </xf>
    <xf numFmtId="0" fontId="26" fillId="0" borderId="0" xfId="0" applyFont="1" applyAlignment="1">
      <alignment horizontal="center" vertical="center"/>
    </xf>
    <xf numFmtId="0" fontId="26" fillId="4" borderId="11" xfId="0" applyFont="1" applyFill="1" applyBorder="1"/>
    <xf numFmtId="0" fontId="26" fillId="4" borderId="8" xfId="0" applyFont="1" applyFill="1" applyBorder="1"/>
    <xf numFmtId="0" fontId="26" fillId="4" borderId="12" xfId="0" applyFont="1" applyFill="1" applyBorder="1"/>
    <xf numFmtId="0" fontId="26" fillId="4" borderId="13" xfId="0" applyFont="1" applyFill="1" applyBorder="1"/>
    <xf numFmtId="0" fontId="26" fillId="4" borderId="0" xfId="0" applyFont="1" applyFill="1"/>
    <xf numFmtId="0" fontId="0" fillId="4" borderId="0" xfId="0" applyFill="1" applyAlignment="1">
      <alignment horizontal="center" vertical="center"/>
    </xf>
    <xf numFmtId="0" fontId="26" fillId="4" borderId="14" xfId="0" applyFont="1" applyFill="1" applyBorder="1"/>
    <xf numFmtId="0" fontId="27" fillId="4" borderId="0" xfId="0" applyFont="1" applyFill="1" applyAlignment="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Alignment="1">
      <alignment vertical="center"/>
    </xf>
    <xf numFmtId="0" fontId="26" fillId="4" borderId="0" xfId="0" applyFont="1" applyFill="1" applyAlignment="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Alignment="1">
      <alignment horizontal="center" vertical="center"/>
    </xf>
    <xf numFmtId="0" fontId="26" fillId="4" borderId="3" xfId="0" applyFont="1" applyFill="1" applyBorder="1"/>
    <xf numFmtId="0" fontId="7" fillId="4" borderId="7" xfId="6" applyFont="1" applyFill="1" applyBorder="1" applyAlignment="1">
      <alignment horizontal="center" vertical="center"/>
    </xf>
    <xf numFmtId="0" fontId="7" fillId="4" borderId="16" xfId="6" applyFont="1" applyFill="1" applyBorder="1" applyAlignment="1">
      <alignment horizontal="center" vertical="center"/>
    </xf>
    <xf numFmtId="0" fontId="7" fillId="4" borderId="15" xfId="6" applyFont="1" applyFill="1" applyBorder="1" applyAlignment="1">
      <alignment horizontal="center" vertical="center"/>
    </xf>
    <xf numFmtId="0" fontId="26" fillId="4" borderId="4" xfId="0" applyFont="1" applyFill="1" applyBorder="1"/>
    <xf numFmtId="0" fontId="7" fillId="4" borderId="0" xfId="6" applyFont="1" applyFill="1" applyAlignment="1">
      <alignment horizontal="center" vertical="center"/>
    </xf>
    <xf numFmtId="0" fontId="7" fillId="4" borderId="9" xfId="6" applyFont="1" applyFill="1" applyBorder="1" applyAlignment="1">
      <alignment horizontal="center" vertical="center"/>
    </xf>
    <xf numFmtId="0" fontId="6" fillId="4" borderId="9" xfId="6" applyFont="1" applyFill="1" applyBorder="1" applyAlignment="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Alignment="1">
      <alignment horizontal="left" vertical="center"/>
    </xf>
    <xf numFmtId="1" fontId="6" fillId="4" borderId="0" xfId="6" applyNumberFormat="1" applyFont="1" applyFill="1" applyAlignment="1">
      <alignment horizontal="center" vertical="center"/>
    </xf>
    <xf numFmtId="1" fontId="6" fillId="4" borderId="9" xfId="6" applyNumberFormat="1" applyFont="1" applyFill="1" applyBorder="1" applyAlignment="1">
      <alignment horizontal="center" vertical="center"/>
    </xf>
    <xf numFmtId="0" fontId="28" fillId="0" borderId="0" xfId="0" applyFont="1" applyAlignment="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Border="1"/>
    <xf numFmtId="44" fontId="26" fillId="0" borderId="0" xfId="0" applyNumberFormat="1" applyFont="1"/>
    <xf numFmtId="0" fontId="6" fillId="4" borderId="17" xfId="6" applyFont="1" applyFill="1" applyBorder="1"/>
    <xf numFmtId="6" fontId="0" fillId="0" borderId="0" xfId="0" applyNumberFormat="1" applyAlignment="1">
      <alignment horizontal="right" vertical="center"/>
    </xf>
    <xf numFmtId="0" fontId="26" fillId="4" borderId="6" xfId="0" applyFont="1" applyFill="1" applyBorder="1"/>
    <xf numFmtId="0" fontId="26" fillId="4" borderId="1" xfId="0" applyFont="1" applyFill="1" applyBorder="1"/>
    <xf numFmtId="0" fontId="26" fillId="4" borderId="21" xfId="0" applyFont="1" applyFill="1" applyBorder="1"/>
    <xf numFmtId="0" fontId="0" fillId="0" borderId="0" xfId="0" applyAlignment="1">
      <alignment horizontal="right" vertical="center"/>
    </xf>
    <xf numFmtId="6" fontId="15" fillId="0" borderId="0" xfId="0" applyNumberFormat="1" applyFont="1" applyAlignment="1">
      <alignment horizontal="right" vertical="center"/>
    </xf>
    <xf numFmtId="0" fontId="21" fillId="0" borderId="0" xfId="0" applyFont="1"/>
    <xf numFmtId="0" fontId="21" fillId="4" borderId="11" xfId="0" applyFont="1" applyFill="1" applyBorder="1" applyAlignment="1">
      <alignment vertical="center"/>
    </xf>
    <xf numFmtId="0" fontId="21" fillId="4" borderId="12" xfId="0" applyFont="1" applyFill="1" applyBorder="1" applyAlignment="1">
      <alignment vertical="center"/>
    </xf>
    <xf numFmtId="0" fontId="21" fillId="4" borderId="13" xfId="0" applyFont="1" applyFill="1" applyBorder="1" applyAlignment="1">
      <alignment vertical="center"/>
    </xf>
    <xf numFmtId="0" fontId="21" fillId="4" borderId="0" xfId="0" applyFont="1" applyFill="1" applyAlignment="1">
      <alignment vertical="center"/>
    </xf>
    <xf numFmtId="0" fontId="28" fillId="4" borderId="0" xfId="0" applyFont="1" applyFill="1" applyAlignment="1">
      <alignment vertical="center"/>
    </xf>
    <xf numFmtId="0" fontId="28" fillId="4" borderId="0" xfId="0" applyFont="1" applyFill="1" applyAlignment="1">
      <alignment horizontal="left" vertical="center"/>
    </xf>
    <xf numFmtId="0" fontId="28" fillId="4" borderId="0" xfId="0" applyFont="1" applyFill="1" applyAlignment="1">
      <alignment horizontal="center" vertical="center"/>
    </xf>
    <xf numFmtId="0" fontId="21" fillId="4" borderId="14" xfId="0" applyFont="1" applyFill="1" applyBorder="1" applyAlignment="1">
      <alignment vertical="center"/>
    </xf>
    <xf numFmtId="0" fontId="28" fillId="0" borderId="0" xfId="0" applyFont="1"/>
    <xf numFmtId="0" fontId="28" fillId="4" borderId="13" xfId="0" applyFont="1" applyFill="1" applyBorder="1" applyAlignment="1">
      <alignment vertical="center"/>
    </xf>
    <xf numFmtId="0" fontId="28" fillId="4" borderId="14" xfId="0" applyFont="1" applyFill="1" applyBorder="1" applyAlignment="1">
      <alignment vertical="center"/>
    </xf>
    <xf numFmtId="0" fontId="21" fillId="4" borderId="3" xfId="0" applyFont="1" applyFill="1" applyBorder="1" applyAlignment="1">
      <alignment vertical="center"/>
    </xf>
    <xf numFmtId="0" fontId="21" fillId="4" borderId="7" xfId="0" applyFont="1" applyFill="1" applyBorder="1" applyAlignment="1">
      <alignment vertical="center"/>
    </xf>
    <xf numFmtId="0" fontId="21" fillId="4" borderId="15" xfId="0" applyFont="1" applyFill="1" applyBorder="1" applyAlignment="1">
      <alignment vertical="center"/>
    </xf>
    <xf numFmtId="0" fontId="21" fillId="4" borderId="9" xfId="0" applyFont="1" applyFill="1" applyBorder="1" applyAlignment="1">
      <alignment vertical="center"/>
    </xf>
    <xf numFmtId="0" fontId="21" fillId="4" borderId="4" xfId="0" applyFont="1" applyFill="1" applyBorder="1" applyAlignment="1">
      <alignment vertical="center"/>
    </xf>
    <xf numFmtId="0" fontId="28" fillId="4" borderId="0" xfId="0" applyFont="1" applyFill="1" applyAlignment="1">
      <alignment horizontal="center" vertical="center" wrapText="1"/>
    </xf>
    <xf numFmtId="0" fontId="21" fillId="4" borderId="9" xfId="0" applyFont="1" applyFill="1" applyBorder="1" applyAlignment="1">
      <alignment vertical="center" wrapText="1"/>
    </xf>
    <xf numFmtId="0" fontId="21" fillId="4" borderId="14" xfId="0" applyFont="1" applyFill="1" applyBorder="1" applyAlignment="1">
      <alignment vertical="center" wrapText="1"/>
    </xf>
    <xf numFmtId="0" fontId="21" fillId="0" borderId="0" xfId="0" applyFont="1" applyAlignment="1">
      <alignment vertical="center" wrapText="1"/>
    </xf>
    <xf numFmtId="5" fontId="28" fillId="0" borderId="22" xfId="0" applyNumberFormat="1" applyFont="1" applyBorder="1" applyAlignment="1">
      <alignment horizontal="center" vertical="center" wrapText="1"/>
    </xf>
    <xf numFmtId="5" fontId="28" fillId="0" borderId="5" xfId="0" applyNumberFormat="1" applyFont="1" applyBorder="1" applyAlignment="1">
      <alignment horizontal="center" vertical="center" wrapText="1"/>
    </xf>
    <xf numFmtId="5" fontId="28" fillId="0" borderId="18" xfId="0" applyNumberFormat="1" applyFont="1" applyBorder="1" applyAlignment="1">
      <alignment horizontal="center" vertical="center" wrapText="1"/>
    </xf>
    <xf numFmtId="5" fontId="28" fillId="4" borderId="0" xfId="0" applyNumberFormat="1" applyFont="1" applyFill="1" applyAlignment="1">
      <alignment horizontal="center" vertical="center" wrapText="1"/>
    </xf>
    <xf numFmtId="0" fontId="13" fillId="3" borderId="18" xfId="0" applyFont="1" applyFill="1" applyBorder="1" applyAlignment="1">
      <alignment vertical="center"/>
    </xf>
    <xf numFmtId="0" fontId="13" fillId="4" borderId="0" xfId="0" applyFont="1" applyFill="1" applyAlignment="1">
      <alignment vertical="center"/>
    </xf>
    <xf numFmtId="37" fontId="28" fillId="4" borderId="19" xfId="0" applyNumberFormat="1" applyFont="1" applyFill="1" applyBorder="1" applyAlignment="1">
      <alignment horizontal="center" vertical="center"/>
    </xf>
    <xf numFmtId="37" fontId="28" fillId="4" borderId="16" xfId="0" applyNumberFormat="1" applyFont="1" applyFill="1" applyBorder="1" applyAlignment="1">
      <alignment horizontal="center" vertical="center"/>
    </xf>
    <xf numFmtId="37" fontId="28" fillId="4" borderId="23" xfId="0" applyNumberFormat="1" applyFont="1" applyFill="1" applyBorder="1" applyAlignment="1">
      <alignment horizontal="center" vertical="center"/>
    </xf>
    <xf numFmtId="37" fontId="28" fillId="4" borderId="0" xfId="0" applyNumberFormat="1" applyFont="1" applyFill="1" applyAlignment="1">
      <alignment horizontal="center" vertical="center"/>
    </xf>
    <xf numFmtId="3" fontId="28" fillId="4" borderId="19" xfId="0" applyNumberFormat="1" applyFont="1" applyFill="1" applyBorder="1" applyAlignment="1">
      <alignment horizontal="center" vertical="center"/>
    </xf>
    <xf numFmtId="3" fontId="28" fillId="4" borderId="16" xfId="0" applyNumberFormat="1" applyFont="1" applyFill="1" applyBorder="1" applyAlignment="1">
      <alignment horizontal="center" vertical="center"/>
    </xf>
    <xf numFmtId="3" fontId="28" fillId="4" borderId="23" xfId="0" applyNumberFormat="1" applyFont="1" applyFill="1" applyBorder="1" applyAlignment="1">
      <alignment horizontal="center" vertical="center"/>
    </xf>
    <xf numFmtId="3" fontId="28" fillId="4" borderId="0" xfId="0" applyNumberFormat="1" applyFont="1" applyFill="1" applyAlignment="1">
      <alignment horizontal="center" vertical="center"/>
    </xf>
    <xf numFmtId="0" fontId="21" fillId="8" borderId="22"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Border="1" applyAlignment="1">
      <alignment horizontal="center" vertical="center"/>
    </xf>
    <xf numFmtId="44" fontId="21" fillId="4" borderId="0" xfId="0" applyNumberFormat="1" applyFont="1" applyFill="1" applyAlignment="1">
      <alignment horizontal="center" vertical="center"/>
    </xf>
    <xf numFmtId="0" fontId="28" fillId="4" borderId="9" xfId="0" applyFont="1" applyFill="1" applyBorder="1" applyAlignment="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Alignment="1">
      <alignment horizontal="left" vertical="center"/>
    </xf>
    <xf numFmtId="0" fontId="28" fillId="2" borderId="18" xfId="0" applyFont="1" applyFill="1" applyBorder="1" applyAlignment="1">
      <alignment vertical="center"/>
    </xf>
    <xf numFmtId="165" fontId="28" fillId="0" borderId="18" xfId="0" applyNumberFormat="1" applyFont="1" applyBorder="1" applyAlignment="1">
      <alignment horizontal="center" vertical="center"/>
    </xf>
    <xf numFmtId="44" fontId="28" fillId="0" borderId="24" xfId="0" applyNumberFormat="1" applyFont="1" applyBorder="1" applyAlignment="1">
      <alignment horizontal="center" vertical="center"/>
    </xf>
    <xf numFmtId="44" fontId="28" fillId="0" borderId="18" xfId="0" applyNumberFormat="1" applyFont="1" applyBorder="1" applyAlignment="1">
      <alignment horizontal="center" vertical="center"/>
    </xf>
    <xf numFmtId="44" fontId="28" fillId="4" borderId="0" xfId="0" applyNumberFormat="1" applyFont="1" applyFill="1" applyAlignment="1">
      <alignment horizontal="center" vertical="center"/>
    </xf>
    <xf numFmtId="0" fontId="28" fillId="2" borderId="24" xfId="0" applyFont="1" applyFill="1" applyBorder="1" applyAlignment="1">
      <alignment vertical="center"/>
    </xf>
    <xf numFmtId="0" fontId="28" fillId="2" borderId="4" xfId="0" applyFont="1" applyFill="1" applyBorder="1" applyAlignment="1">
      <alignment vertical="center"/>
    </xf>
    <xf numFmtId="0" fontId="28" fillId="2" borderId="0" xfId="0" applyFont="1" applyFill="1" applyAlignment="1">
      <alignment vertical="center"/>
    </xf>
    <xf numFmtId="0" fontId="28" fillId="2" borderId="9" xfId="0" applyFont="1" applyFill="1" applyBorder="1" applyAlignment="1">
      <alignment vertical="center"/>
    </xf>
    <xf numFmtId="0" fontId="28" fillId="4" borderId="5"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17" xfId="0" applyFont="1" applyFill="1" applyBorder="1" applyAlignment="1">
      <alignment horizontal="center" vertical="center"/>
    </xf>
    <xf numFmtId="3" fontId="28" fillId="4" borderId="5" xfId="0" applyNumberFormat="1" applyFont="1" applyFill="1" applyBorder="1" applyAlignment="1">
      <alignment horizontal="center" vertical="center"/>
    </xf>
    <xf numFmtId="3" fontId="28" fillId="4" borderId="10" xfId="0" applyNumberFormat="1" applyFont="1" applyFill="1" applyBorder="1" applyAlignment="1">
      <alignment horizontal="center" vertical="center"/>
    </xf>
    <xf numFmtId="3" fontId="28" fillId="4" borderId="17" xfId="0" applyNumberFormat="1" applyFont="1" applyFill="1" applyBorder="1" applyAlignment="1">
      <alignment horizontal="center" vertical="center"/>
    </xf>
    <xf numFmtId="165" fontId="21" fillId="4" borderId="0" xfId="0" applyNumberFormat="1" applyFont="1" applyFill="1" applyAlignment="1">
      <alignment horizontal="center" vertical="center"/>
    </xf>
    <xf numFmtId="3" fontId="21" fillId="4" borderId="9" xfId="0" applyNumberFormat="1" applyFont="1" applyFill="1" applyBorder="1" applyAlignment="1">
      <alignment vertical="center"/>
    </xf>
    <xf numFmtId="0" fontId="21" fillId="8" borderId="18" xfId="0" applyFont="1" applyFill="1" applyBorder="1" applyAlignment="1" applyProtection="1">
      <alignment vertical="center" wrapText="1"/>
      <protection locked="0"/>
    </xf>
    <xf numFmtId="0" fontId="21" fillId="4" borderId="0" xfId="0" applyFont="1" applyFill="1" applyAlignment="1">
      <alignment vertical="center" wrapText="1"/>
    </xf>
    <xf numFmtId="165" fontId="28" fillId="4" borderId="0" xfId="0" applyNumberFormat="1" applyFont="1" applyFill="1" applyAlignment="1">
      <alignment horizontal="center" vertical="center"/>
    </xf>
    <xf numFmtId="0" fontId="28" fillId="4" borderId="2" xfId="0" applyFont="1" applyFill="1" applyBorder="1" applyAlignment="1">
      <alignment vertical="center"/>
    </xf>
    <xf numFmtId="165" fontId="28" fillId="4" borderId="3" xfId="0" applyNumberFormat="1" applyFont="1" applyFill="1" applyBorder="1" applyAlignment="1">
      <alignment horizontal="center" vertical="center"/>
    </xf>
    <xf numFmtId="44" fontId="28" fillId="4" borderId="10" xfId="0" applyNumberFormat="1" applyFont="1" applyFill="1" applyBorder="1" applyAlignment="1">
      <alignment horizontal="center" vertical="center"/>
    </xf>
    <xf numFmtId="44" fontId="28" fillId="4" borderId="23" xfId="0" applyNumberFormat="1" applyFont="1" applyFill="1" applyBorder="1" applyAlignment="1">
      <alignment horizontal="center" vertical="center"/>
    </xf>
    <xf numFmtId="44" fontId="21" fillId="4" borderId="10" xfId="0" applyNumberFormat="1" applyFont="1" applyFill="1" applyBorder="1" applyAlignment="1">
      <alignment horizontal="center" vertical="center"/>
    </xf>
    <xf numFmtId="165" fontId="28" fillId="4" borderId="23" xfId="0" applyNumberFormat="1" applyFont="1" applyFill="1" applyBorder="1" applyAlignment="1">
      <alignment horizontal="center" vertical="center"/>
    </xf>
    <xf numFmtId="165" fontId="28" fillId="4" borderId="9" xfId="0" applyNumberFormat="1" applyFont="1" applyFill="1" applyBorder="1" applyAlignment="1">
      <alignment horizontal="center" vertical="center"/>
    </xf>
    <xf numFmtId="0" fontId="28" fillId="0" borderId="2" xfId="0" applyFont="1" applyBorder="1" applyAlignment="1">
      <alignment horizontal="center" vertical="center" wrapText="1"/>
    </xf>
    <xf numFmtId="5" fontId="28" fillId="4" borderId="2" xfId="0" applyNumberFormat="1" applyFont="1" applyFill="1" applyBorder="1" applyAlignment="1">
      <alignment horizontal="center" vertical="center" wrapText="1"/>
    </xf>
    <xf numFmtId="5" fontId="28" fillId="0" borderId="10" xfId="0" applyNumberFormat="1" applyFont="1" applyBorder="1" applyAlignment="1">
      <alignment horizontal="center" vertical="center" wrapText="1"/>
    </xf>
    <xf numFmtId="1" fontId="21" fillId="4" borderId="4" xfId="0" applyNumberFormat="1" applyFont="1" applyFill="1" applyBorder="1" applyAlignment="1">
      <alignment horizontal="center" vertical="center"/>
    </xf>
    <xf numFmtId="1" fontId="21" fillId="4" borderId="16" xfId="0" applyNumberFormat="1" applyFont="1" applyFill="1" applyBorder="1" applyAlignment="1">
      <alignment horizontal="center" vertical="center"/>
    </xf>
    <xf numFmtId="1" fontId="21" fillId="4" borderId="23" xfId="0" applyNumberFormat="1" applyFont="1" applyFill="1" applyBorder="1" applyAlignment="1">
      <alignment horizontal="center" vertical="center"/>
    </xf>
    <xf numFmtId="1" fontId="21" fillId="4" borderId="0" xfId="0" applyNumberFormat="1" applyFont="1" applyFill="1" applyAlignment="1">
      <alignment horizontal="center" vertical="center"/>
    </xf>
    <xf numFmtId="0" fontId="21" fillId="4" borderId="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9" xfId="0" applyFont="1" applyFill="1" applyBorder="1" applyAlignment="1">
      <alignment horizontal="center" vertical="center"/>
    </xf>
    <xf numFmtId="0" fontId="21" fillId="0" borderId="22" xfId="0" applyFont="1" applyBorder="1" applyAlignment="1">
      <alignment vertical="center"/>
    </xf>
    <xf numFmtId="1" fontId="21" fillId="4" borderId="2" xfId="0" applyNumberFormat="1" applyFont="1" applyFill="1" applyBorder="1" applyAlignment="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lignment horizontal="center" vertical="center"/>
    </xf>
    <xf numFmtId="0" fontId="21" fillId="0" borderId="18" xfId="0" applyFont="1" applyBorder="1" applyAlignment="1">
      <alignment vertical="center"/>
    </xf>
    <xf numFmtId="166" fontId="21" fillId="0" borderId="18" xfId="0" applyNumberFormat="1" applyFont="1" applyBorder="1" applyAlignment="1">
      <alignment horizontal="center" vertical="center"/>
    </xf>
    <xf numFmtId="166" fontId="21" fillId="0" borderId="23" xfId="0" applyNumberFormat="1" applyFont="1" applyBorder="1" applyAlignment="1">
      <alignment horizontal="center" vertical="center"/>
    </xf>
    <xf numFmtId="10" fontId="21" fillId="0" borderId="18" xfId="0" applyNumberFormat="1" applyFont="1" applyBorder="1" applyAlignment="1">
      <alignment horizontal="center" vertical="center"/>
    </xf>
    <xf numFmtId="10" fontId="21" fillId="0" borderId="23" xfId="0" applyNumberFormat="1" applyFont="1" applyBorder="1" applyAlignment="1">
      <alignment horizontal="center" vertical="center"/>
    </xf>
    <xf numFmtId="0" fontId="21" fillId="4" borderId="5" xfId="0" applyFont="1" applyFill="1" applyBorder="1" applyAlignment="1">
      <alignment vertical="center"/>
    </xf>
    <xf numFmtId="0" fontId="28" fillId="2" borderId="10" xfId="0" applyFont="1" applyFill="1" applyBorder="1" applyAlignment="1">
      <alignment vertical="center"/>
    </xf>
    <xf numFmtId="0" fontId="28" fillId="4" borderId="10" xfId="0" applyFont="1" applyFill="1" applyBorder="1" applyAlignment="1">
      <alignment vertical="center"/>
    </xf>
    <xf numFmtId="0" fontId="21" fillId="4" borderId="10" xfId="0" applyFont="1" applyFill="1" applyBorder="1" applyAlignment="1">
      <alignment vertical="center"/>
    </xf>
    <xf numFmtId="165" fontId="28" fillId="2" borderId="10" xfId="0" applyNumberFormat="1" applyFont="1" applyFill="1" applyBorder="1" applyAlignment="1">
      <alignment horizontal="center" vertical="center"/>
    </xf>
    <xf numFmtId="44" fontId="28" fillId="2" borderId="10" xfId="0" applyNumberFormat="1" applyFont="1" applyFill="1" applyBorder="1" applyAlignment="1">
      <alignment horizontal="center" vertical="center"/>
    </xf>
    <xf numFmtId="165" fontId="28" fillId="4" borderId="10" xfId="0" applyNumberFormat="1" applyFont="1" applyFill="1" applyBorder="1" applyAlignment="1">
      <alignment horizontal="center" vertical="center"/>
    </xf>
    <xf numFmtId="0" fontId="21" fillId="4" borderId="17" xfId="0" applyFont="1" applyFill="1" applyBorder="1" applyAlignment="1">
      <alignment vertical="center"/>
    </xf>
    <xf numFmtId="5" fontId="21" fillId="0" borderId="0" xfId="0" applyNumberFormat="1" applyFont="1"/>
    <xf numFmtId="165" fontId="28" fillId="2" borderId="0" xfId="0" applyNumberFormat="1" applyFont="1" applyFill="1" applyAlignment="1">
      <alignment horizontal="center" vertical="center"/>
    </xf>
    <xf numFmtId="44" fontId="28" fillId="2" borderId="0" xfId="0" applyNumberFormat="1" applyFont="1" applyFill="1" applyAlignment="1">
      <alignment horizontal="center" vertical="center"/>
    </xf>
    <xf numFmtId="0" fontId="28" fillId="2" borderId="7" xfId="0" applyFont="1" applyFill="1" applyBorder="1" applyAlignment="1">
      <alignment vertical="center"/>
    </xf>
    <xf numFmtId="0" fontId="28" fillId="4" borderId="7" xfId="0" applyFont="1" applyFill="1" applyBorder="1" applyAlignment="1">
      <alignment vertical="center"/>
    </xf>
    <xf numFmtId="165" fontId="28" fillId="2" borderId="7" xfId="0" applyNumberFormat="1" applyFont="1" applyFill="1" applyBorder="1" applyAlignment="1">
      <alignment horizontal="center" vertical="center"/>
    </xf>
    <xf numFmtId="44" fontId="28" fillId="2" borderId="7" xfId="0" applyNumberFormat="1" applyFont="1" applyFill="1" applyBorder="1" applyAlignment="1">
      <alignment horizontal="center" vertical="center"/>
    </xf>
    <xf numFmtId="44" fontId="28" fillId="4" borderId="7" xfId="0" applyNumberFormat="1" applyFont="1" applyFill="1" applyBorder="1" applyAlignment="1">
      <alignment horizontal="center" vertical="center"/>
    </xf>
    <xf numFmtId="165" fontId="28" fillId="4" borderId="7" xfId="0" applyNumberFormat="1" applyFont="1" applyFill="1" applyBorder="1" applyAlignment="1">
      <alignment horizontal="center" vertical="center"/>
    </xf>
    <xf numFmtId="0" fontId="13" fillId="9" borderId="18" xfId="0" applyFont="1" applyFill="1" applyBorder="1" applyAlignment="1">
      <alignment vertical="center"/>
    </xf>
    <xf numFmtId="42" fontId="28" fillId="4" borderId="0" xfId="0" applyNumberFormat="1" applyFont="1" applyFill="1" applyAlignment="1">
      <alignment vertical="center"/>
    </xf>
    <xf numFmtId="0" fontId="28" fillId="4" borderId="4" xfId="0" applyFont="1" applyFill="1" applyBorder="1" applyAlignment="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lignment vertical="center"/>
    </xf>
    <xf numFmtId="9" fontId="21" fillId="0" borderId="0" xfId="0" applyNumberFormat="1" applyFont="1" applyAlignment="1">
      <alignment horizontal="center"/>
    </xf>
    <xf numFmtId="1" fontId="21" fillId="4" borderId="0" xfId="0" applyNumberFormat="1" applyFont="1" applyFill="1" applyAlignment="1">
      <alignment vertical="center"/>
    </xf>
    <xf numFmtId="44" fontId="28" fillId="4" borderId="9" xfId="0" applyNumberFormat="1" applyFont="1" applyFill="1" applyBorder="1" applyAlignment="1">
      <alignment horizontal="center" vertical="center"/>
    </xf>
    <xf numFmtId="44" fontId="28" fillId="4" borderId="9" xfId="0" applyNumberFormat="1" applyFont="1" applyFill="1" applyBorder="1" applyAlignment="1">
      <alignment vertical="center"/>
    </xf>
    <xf numFmtId="0" fontId="28" fillId="4" borderId="5" xfId="0" applyFont="1" applyFill="1" applyBorder="1" applyAlignment="1">
      <alignment vertical="center"/>
    </xf>
    <xf numFmtId="165" fontId="21" fillId="4" borderId="10" xfId="0" applyNumberFormat="1" applyFont="1" applyFill="1" applyBorder="1" applyAlignment="1">
      <alignment horizontal="center" vertical="center"/>
    </xf>
    <xf numFmtId="165" fontId="28" fillId="4" borderId="17" xfId="0" applyNumberFormat="1" applyFont="1" applyFill="1" applyBorder="1" applyAlignment="1">
      <alignment horizontal="center" vertical="center"/>
    </xf>
    <xf numFmtId="0" fontId="32" fillId="4" borderId="10" xfId="0" applyFont="1" applyFill="1" applyBorder="1" applyAlignment="1">
      <alignment vertical="center"/>
    </xf>
    <xf numFmtId="0" fontId="32" fillId="4" borderId="0" xfId="0" applyFont="1" applyFill="1" applyAlignment="1">
      <alignment vertical="center"/>
    </xf>
    <xf numFmtId="0" fontId="21" fillId="4" borderId="6" xfId="0" applyFont="1" applyFill="1" applyBorder="1" applyAlignment="1">
      <alignment vertical="center"/>
    </xf>
    <xf numFmtId="0" fontId="21" fillId="4" borderId="1" xfId="0" applyFont="1" applyFill="1" applyBorder="1" applyAlignment="1">
      <alignment vertical="center"/>
    </xf>
    <xf numFmtId="0" fontId="21" fillId="4" borderId="21" xfId="0" applyFont="1" applyFill="1" applyBorder="1" applyAlignment="1">
      <alignment vertical="center"/>
    </xf>
    <xf numFmtId="1" fontId="21" fillId="0" borderId="0" xfId="0" applyNumberFormat="1" applyFont="1"/>
    <xf numFmtId="0" fontId="6" fillId="5" borderId="24" xfId="6" applyFont="1" applyFill="1" applyBorder="1" applyAlignment="1" applyProtection="1">
      <alignment horizontal="center" vertical="center"/>
      <protection locked="0"/>
    </xf>
    <xf numFmtId="0" fontId="6" fillId="4" borderId="0" xfId="6" applyFont="1" applyFill="1" applyAlignment="1">
      <alignment horizontal="center" vertical="center"/>
    </xf>
    <xf numFmtId="0" fontId="6" fillId="4" borderId="7" xfId="6" applyFont="1" applyFill="1" applyBorder="1" applyAlignment="1" applyProtection="1">
      <alignment horizontal="center" vertical="center"/>
      <protection locked="0"/>
    </xf>
    <xf numFmtId="0" fontId="33" fillId="4" borderId="9" xfId="6" applyFont="1" applyFill="1" applyBorder="1" applyAlignment="1">
      <alignment horizontal="center" vertical="center"/>
    </xf>
    <xf numFmtId="0" fontId="9" fillId="4" borderId="0" xfId="6" applyFont="1" applyFill="1" applyAlignment="1">
      <alignment horizontal="left" vertical="center"/>
    </xf>
    <xf numFmtId="0" fontId="6" fillId="4" borderId="0" xfId="6" applyFont="1" applyFill="1" applyAlignment="1">
      <alignment horizontal="left" vertical="center"/>
    </xf>
    <xf numFmtId="0" fontId="6" fillId="4" borderId="0" xfId="6" applyFont="1" applyFill="1" applyAlignment="1">
      <alignment horizontal="left" vertical="center" wrapText="1"/>
    </xf>
    <xf numFmtId="1" fontId="6" fillId="4" borderId="10" xfId="6" applyNumberFormat="1" applyFont="1" applyFill="1" applyBorder="1" applyAlignment="1">
      <alignment horizontal="center" vertical="center"/>
    </xf>
    <xf numFmtId="44" fontId="34" fillId="0" borderId="0" xfId="0" applyNumberFormat="1" applyFont="1" applyAlignment="1">
      <alignment horizontal="left" vertical="center"/>
    </xf>
    <xf numFmtId="0" fontId="27" fillId="4" borderId="0" xfId="0" applyFont="1" applyFill="1" applyAlignment="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xf numFmtId="1" fontId="26" fillId="0" borderId="0" xfId="0" applyNumberFormat="1" applyFont="1"/>
    <xf numFmtId="0" fontId="35" fillId="4" borderId="0" xfId="0" applyFont="1" applyFill="1" applyAlignment="1">
      <alignment horizontal="center" vertical="center"/>
    </xf>
    <xf numFmtId="0" fontId="6" fillId="4" borderId="0" xfId="6" applyFont="1" applyFill="1" applyAlignment="1" applyProtection="1">
      <alignment horizontal="center" vertical="center"/>
      <protection locked="0"/>
    </xf>
    <xf numFmtId="0" fontId="15" fillId="4" borderId="0" xfId="0" applyFont="1" applyFill="1" applyAlignment="1">
      <alignment horizontal="center" vertical="center"/>
    </xf>
    <xf numFmtId="0" fontId="0" fillId="4" borderId="0" xfId="0" applyFill="1"/>
    <xf numFmtId="0" fontId="15" fillId="4" borderId="0" xfId="0" applyFont="1" applyFill="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xf numFmtId="0" fontId="17" fillId="4" borderId="0" xfId="0" applyFont="1" applyFill="1" applyAlignment="1">
      <alignment horizontal="center"/>
    </xf>
    <xf numFmtId="0" fontId="0" fillId="4" borderId="0" xfId="0" applyFill="1" applyAlignment="1">
      <alignment horizontal="left" vertical="center" indent="1"/>
    </xf>
    <xf numFmtId="0" fontId="8" fillId="4" borderId="0" xfId="6" applyFont="1" applyFill="1" applyAlignment="1">
      <alignment horizontal="center"/>
    </xf>
    <xf numFmtId="0" fontId="26" fillId="4" borderId="25" xfId="0" applyFont="1" applyFill="1" applyBorder="1"/>
    <xf numFmtId="1" fontId="6" fillId="4" borderId="18" xfId="6" applyNumberFormat="1" applyFont="1" applyFill="1" applyBorder="1" applyAlignment="1">
      <alignment horizontal="center" vertical="center"/>
    </xf>
    <xf numFmtId="0" fontId="6" fillId="4" borderId="18" xfId="6" applyFont="1" applyFill="1" applyBorder="1" applyAlignment="1">
      <alignment horizontal="center" vertical="center"/>
    </xf>
    <xf numFmtId="49" fontId="0" fillId="0" borderId="0" xfId="0" applyNumberFormat="1" applyAlignment="1">
      <alignment vertical="center"/>
    </xf>
    <xf numFmtId="164" fontId="12" fillId="0" borderId="0" xfId="2" applyNumberFormat="1" applyFont="1" applyFill="1" applyAlignment="1" applyProtection="1">
      <alignment vertical="center"/>
    </xf>
    <xf numFmtId="0" fontId="36" fillId="0" borderId="0" xfId="0" applyFont="1" applyAlignment="1">
      <alignment vertical="center"/>
    </xf>
    <xf numFmtId="0" fontId="0" fillId="0" borderId="0" xfId="0" applyAlignment="1">
      <alignment vertical="center" wrapText="1"/>
    </xf>
    <xf numFmtId="0" fontId="0" fillId="4" borderId="11" xfId="0" applyFill="1" applyBorder="1" applyAlignment="1">
      <alignment vertical="center"/>
    </xf>
    <xf numFmtId="0" fontId="15" fillId="4" borderId="8" xfId="0" applyFont="1" applyFill="1" applyBorder="1" applyAlignment="1">
      <alignment horizontal="center" vertical="center"/>
    </xf>
    <xf numFmtId="0" fontId="36" fillId="4" borderId="8"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49" fontId="0" fillId="4" borderId="0" xfId="0" applyNumberFormat="1" applyFill="1" applyAlignment="1">
      <alignment vertical="center"/>
    </xf>
    <xf numFmtId="0" fontId="15" fillId="4" borderId="0" xfId="0" applyFont="1" applyFill="1" applyAlignment="1">
      <alignment vertical="center"/>
    </xf>
    <xf numFmtId="164" fontId="12" fillId="4" borderId="0" xfId="2" applyNumberFormat="1" applyFont="1" applyFill="1" applyBorder="1" applyAlignment="1" applyProtection="1">
      <alignment vertical="center"/>
    </xf>
    <xf numFmtId="0" fontId="36" fillId="4" borderId="0" xfId="0" applyFont="1" applyFill="1" applyAlignment="1">
      <alignment vertical="center"/>
    </xf>
    <xf numFmtId="0" fontId="0" fillId="4" borderId="14" xfId="0" applyFill="1" applyBorder="1" applyAlignment="1">
      <alignment vertical="center"/>
    </xf>
    <xf numFmtId="0" fontId="15" fillId="4" borderId="0" xfId="0" applyFont="1" applyFill="1" applyAlignment="1">
      <alignment horizontal="left" vertical="center"/>
    </xf>
    <xf numFmtId="0" fontId="0" fillId="4" borderId="0" xfId="0" applyFill="1" applyAlignment="1">
      <alignment vertical="center" wrapText="1"/>
    </xf>
    <xf numFmtId="49" fontId="15" fillId="4" borderId="0" xfId="0" applyNumberFormat="1" applyFont="1" applyFill="1" applyAlignment="1">
      <alignment vertical="center"/>
    </xf>
    <xf numFmtId="0" fontId="28" fillId="4" borderId="7" xfId="0" applyFont="1" applyFill="1" applyBorder="1" applyAlignment="1">
      <alignment horizontal="center" vertical="center"/>
    </xf>
    <xf numFmtId="0" fontId="28" fillId="4" borderId="15" xfId="0" applyFont="1" applyFill="1" applyBorder="1" applyAlignment="1">
      <alignment horizontal="center" vertical="center"/>
    </xf>
    <xf numFmtId="0" fontId="15" fillId="4" borderId="3" xfId="0" applyFont="1" applyFill="1" applyBorder="1" applyAlignment="1">
      <alignment horizontal="center" vertical="center"/>
    </xf>
    <xf numFmtId="49" fontId="15" fillId="4" borderId="7" xfId="0" applyNumberFormat="1" applyFont="1" applyFill="1" applyBorder="1" applyAlignment="1">
      <alignment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xf>
    <xf numFmtId="0" fontId="15" fillId="4" borderId="4" xfId="0" applyFont="1" applyFill="1" applyBorder="1" applyAlignment="1">
      <alignment horizontal="center" vertical="center"/>
    </xf>
    <xf numFmtId="164" fontId="12" fillId="4" borderId="16" xfId="2" applyNumberFormat="1" applyFont="1" applyFill="1" applyBorder="1" applyAlignment="1" applyProtection="1">
      <alignment vertical="center"/>
    </xf>
    <xf numFmtId="0" fontId="37" fillId="4" borderId="9" xfId="0" applyFont="1" applyFill="1" applyBorder="1" applyAlignment="1">
      <alignment vertical="center" wrapText="1"/>
    </xf>
    <xf numFmtId="0" fontId="38" fillId="0" borderId="0" xfId="0" applyFont="1" applyAlignment="1">
      <alignment horizontal="left" vertical="center" wrapText="1"/>
    </xf>
    <xf numFmtId="44" fontId="0" fillId="4" borderId="9" xfId="0" applyNumberFormat="1" applyFill="1" applyBorder="1" applyAlignment="1">
      <alignment vertical="center"/>
    </xf>
    <xf numFmtId="44" fontId="12" fillId="4" borderId="18" xfId="2" applyFont="1" applyFill="1" applyBorder="1" applyAlignment="1" applyProtection="1">
      <alignment vertical="center"/>
    </xf>
    <xf numFmtId="49" fontId="21" fillId="4" borderId="14" xfId="0" applyNumberFormat="1" applyFont="1" applyFill="1" applyBorder="1" applyAlignment="1">
      <alignment horizontal="left" vertical="center"/>
    </xf>
    <xf numFmtId="4" fontId="37" fillId="4" borderId="9" xfId="0" applyNumberFormat="1" applyFont="1" applyFill="1" applyBorder="1" applyAlignment="1">
      <alignment vertical="center" wrapText="1"/>
    </xf>
    <xf numFmtId="44" fontId="12" fillId="5" borderId="18" xfId="2" applyFont="1" applyFill="1" applyBorder="1" applyAlignment="1" applyProtection="1">
      <alignment vertical="center"/>
      <protection locked="0"/>
    </xf>
    <xf numFmtId="44" fontId="0" fillId="4" borderId="0" xfId="0" applyNumberFormat="1" applyFill="1" applyAlignment="1">
      <alignment vertical="center"/>
    </xf>
    <xf numFmtId="0" fontId="37" fillId="4" borderId="9" xfId="0" applyFont="1" applyFill="1" applyBorder="1" applyAlignment="1">
      <alignment vertical="center"/>
    </xf>
    <xf numFmtId="0" fontId="36" fillId="4" borderId="9" xfId="0" applyFont="1" applyFill="1" applyBorder="1" applyAlignment="1">
      <alignment vertical="center"/>
    </xf>
    <xf numFmtId="0" fontId="0" fillId="4" borderId="14" xfId="0" applyFill="1" applyBorder="1" applyAlignment="1">
      <alignment horizontal="left" vertical="center"/>
    </xf>
    <xf numFmtId="44" fontId="15" fillId="4" borderId="9" xfId="0" applyNumberFormat="1" applyFont="1" applyFill="1" applyBorder="1" applyAlignment="1">
      <alignment horizontal="right" vertical="center"/>
    </xf>
    <xf numFmtId="44" fontId="15" fillId="4" borderId="18" xfId="0" applyNumberFormat="1" applyFont="1" applyFill="1" applyBorder="1" applyAlignment="1">
      <alignment horizontal="right" vertical="center"/>
    </xf>
    <xf numFmtId="44" fontId="15" fillId="4" borderId="19" xfId="0" applyNumberFormat="1" applyFont="1" applyFill="1" applyBorder="1" applyAlignment="1">
      <alignment horizontal="right" vertical="center"/>
    </xf>
    <xf numFmtId="164" fontId="12" fillId="4" borderId="7" xfId="2" applyNumberFormat="1" applyFont="1" applyFill="1" applyBorder="1" applyAlignment="1" applyProtection="1">
      <alignment vertical="center"/>
    </xf>
    <xf numFmtId="44" fontId="0" fillId="4" borderId="23" xfId="0" applyNumberFormat="1" applyFill="1" applyBorder="1" applyAlignment="1">
      <alignment vertical="center"/>
    </xf>
    <xf numFmtId="44" fontId="0" fillId="4" borderId="16" xfId="0" applyNumberFormat="1" applyFill="1" applyBorder="1" applyAlignment="1">
      <alignment vertical="center"/>
    </xf>
    <xf numFmtId="44" fontId="15" fillId="4" borderId="23" xfId="0" applyNumberFormat="1" applyFont="1" applyFill="1" applyBorder="1" applyAlignment="1">
      <alignment horizontal="right" vertical="center"/>
    </xf>
    <xf numFmtId="44" fontId="0" fillId="4" borderId="7" xfId="0" applyNumberFormat="1" applyFill="1" applyBorder="1" applyAlignment="1">
      <alignment vertical="center"/>
    </xf>
    <xf numFmtId="0" fontId="15" fillId="4" borderId="10" xfId="0" applyFont="1" applyFill="1" applyBorder="1" applyAlignment="1">
      <alignment vertical="center"/>
    </xf>
    <xf numFmtId="164" fontId="12" fillId="4" borderId="10" xfId="2" applyNumberFormat="1" applyFont="1" applyFill="1" applyBorder="1" applyAlignment="1" applyProtection="1">
      <alignment vertical="center"/>
    </xf>
    <xf numFmtId="43" fontId="21" fillId="4" borderId="14" xfId="0" applyNumberFormat="1" applyFont="1" applyFill="1" applyBorder="1" applyAlignment="1">
      <alignment horizontal="left" vertical="center"/>
    </xf>
    <xf numFmtId="0" fontId="37" fillId="4" borderId="17" xfId="0" applyFont="1" applyFill="1" applyBorder="1" applyAlignment="1">
      <alignment vertical="center"/>
    </xf>
    <xf numFmtId="44" fontId="15" fillId="4" borderId="0" xfId="0" applyNumberFormat="1" applyFont="1" applyFill="1" applyAlignment="1">
      <alignment vertical="center"/>
    </xf>
    <xf numFmtId="0" fontId="15" fillId="4" borderId="9" xfId="0" applyFont="1" applyFill="1" applyBorder="1" applyAlignment="1">
      <alignment vertical="center"/>
    </xf>
    <xf numFmtId="0" fontId="0" fillId="0" borderId="0" xfId="0" applyAlignment="1">
      <alignment horizontal="center" vertical="center" wrapText="1"/>
    </xf>
    <xf numFmtId="44" fontId="15" fillId="4" borderId="18" xfId="2" applyFont="1" applyFill="1" applyBorder="1" applyAlignment="1" applyProtection="1">
      <alignment vertical="center"/>
    </xf>
    <xf numFmtId="49" fontId="37" fillId="4" borderId="9" xfId="0" applyNumberFormat="1" applyFont="1" applyFill="1" applyBorder="1" applyAlignment="1">
      <alignment horizontal="center" vertical="center" wrapText="1"/>
    </xf>
    <xf numFmtId="0" fontId="0" fillId="4" borderId="7" xfId="0" applyFill="1" applyBorder="1" applyAlignment="1">
      <alignment horizontal="center" vertical="center"/>
    </xf>
    <xf numFmtId="43" fontId="21" fillId="4" borderId="14" xfId="0" applyNumberFormat="1" applyFont="1" applyFill="1" applyBorder="1" applyAlignment="1">
      <alignment horizontal="left" vertical="center" wrapText="1"/>
    </xf>
    <xf numFmtId="44" fontId="0" fillId="4" borderId="10" xfId="0" applyNumberFormat="1" applyFill="1" applyBorder="1" applyAlignment="1">
      <alignment vertical="center"/>
    </xf>
    <xf numFmtId="0" fontId="38" fillId="0" borderId="0" xfId="0" applyFont="1" applyAlignment="1">
      <alignment vertical="center" wrapText="1"/>
    </xf>
    <xf numFmtId="0" fontId="39" fillId="4" borderId="9" xfId="0" applyFont="1" applyFill="1" applyBorder="1" applyAlignment="1">
      <alignment vertical="center" wrapText="1"/>
    </xf>
    <xf numFmtId="0" fontId="0" fillId="4" borderId="9" xfId="0" applyFill="1" applyBorder="1" applyAlignment="1">
      <alignment vertical="center" wrapText="1"/>
    </xf>
    <xf numFmtId="44" fontId="15" fillId="4" borderId="7" xfId="0" applyNumberFormat="1" applyFont="1" applyFill="1" applyBorder="1" applyAlignment="1">
      <alignment vertical="center"/>
    </xf>
    <xf numFmtId="0" fontId="15" fillId="4" borderId="7" xfId="0" applyFont="1" applyFill="1" applyBorder="1" applyAlignment="1">
      <alignment vertical="center"/>
    </xf>
    <xf numFmtId="164" fontId="15" fillId="4" borderId="7" xfId="2" applyNumberFormat="1" applyFont="1" applyFill="1" applyBorder="1" applyAlignment="1" applyProtection="1">
      <alignment vertical="center"/>
    </xf>
    <xf numFmtId="0" fontId="15" fillId="4" borderId="10" xfId="0" applyFont="1" applyFill="1" applyBorder="1" applyAlignment="1">
      <alignment vertical="center" wrapText="1"/>
    </xf>
    <xf numFmtId="0" fontId="0" fillId="4" borderId="10" xfId="0" applyFill="1" applyBorder="1" applyAlignment="1">
      <alignment vertical="center" wrapText="1"/>
    </xf>
    <xf numFmtId="44" fontId="0" fillId="0" borderId="0" xfId="0" applyNumberFormat="1" applyAlignment="1">
      <alignment vertical="center" wrapText="1"/>
    </xf>
    <xf numFmtId="164" fontId="15" fillId="4" borderId="10" xfId="2" applyNumberFormat="1" applyFont="1" applyFill="1" applyBorder="1" applyAlignment="1" applyProtection="1">
      <alignment vertical="center"/>
    </xf>
    <xf numFmtId="0" fontId="15" fillId="4" borderId="5" xfId="0" applyFont="1" applyFill="1" applyBorder="1" applyAlignment="1">
      <alignment horizontal="center" vertical="center"/>
    </xf>
    <xf numFmtId="49" fontId="15" fillId="4" borderId="10" xfId="0" applyNumberFormat="1" applyFont="1" applyFill="1" applyBorder="1" applyAlignment="1">
      <alignment horizontal="right" vertical="center"/>
    </xf>
    <xf numFmtId="0" fontId="37" fillId="4" borderId="10" xfId="0" applyFont="1" applyFill="1" applyBorder="1" applyAlignment="1">
      <alignment vertical="center"/>
    </xf>
    <xf numFmtId="0" fontId="0" fillId="4" borderId="13" xfId="0" applyFill="1" applyBorder="1"/>
    <xf numFmtId="0" fontId="0" fillId="4" borderId="14" xfId="0" applyFill="1" applyBorder="1"/>
    <xf numFmtId="0" fontId="0" fillId="0" borderId="13" xfId="0" applyBorder="1"/>
    <xf numFmtId="0" fontId="0" fillId="0" borderId="0" xfId="0" applyAlignment="1">
      <alignment horizontal="left" vertical="center"/>
    </xf>
    <xf numFmtId="0" fontId="0" fillId="4" borderId="6" xfId="0" applyFill="1" applyBorder="1" applyAlignment="1">
      <alignment vertical="center"/>
    </xf>
    <xf numFmtId="0" fontId="15" fillId="4" borderId="1" xfId="0" applyFont="1" applyFill="1" applyBorder="1" applyAlignment="1">
      <alignment horizontal="center" vertical="center"/>
    </xf>
    <xf numFmtId="49" fontId="0" fillId="4" borderId="1" xfId="0" applyNumberFormat="1" applyFill="1" applyBorder="1" applyAlignment="1">
      <alignment vertical="center"/>
    </xf>
    <xf numFmtId="164" fontId="12" fillId="4" borderId="1" xfId="2" applyNumberFormat="1" applyFont="1" applyFill="1" applyBorder="1" applyAlignment="1" applyProtection="1">
      <alignment vertical="center"/>
    </xf>
    <xf numFmtId="0" fontId="36" fillId="4" borderId="1" xfId="0" applyFont="1" applyFill="1" applyBorder="1" applyAlignment="1">
      <alignment vertical="center"/>
    </xf>
    <xf numFmtId="0" fontId="37" fillId="4" borderId="0" xfId="0" applyFont="1" applyFill="1" applyAlignment="1">
      <alignment vertical="center" wrapText="1"/>
    </xf>
    <xf numFmtId="0" fontId="0" fillId="4" borderId="9" xfId="0" applyFill="1" applyBorder="1" applyAlignment="1">
      <alignment horizontal="center" vertical="center"/>
    </xf>
    <xf numFmtId="0" fontId="37" fillId="4" borderId="0" xfId="0" applyFont="1" applyFill="1" applyAlignment="1">
      <alignment vertical="center"/>
    </xf>
    <xf numFmtId="0" fontId="37" fillId="0" borderId="0" xfId="0" applyFont="1" applyAlignment="1">
      <alignment vertical="center"/>
    </xf>
    <xf numFmtId="164" fontId="15" fillId="4" borderId="0" xfId="2" applyNumberFormat="1" applyFont="1" applyFill="1" applyBorder="1" applyAlignment="1" applyProtection="1">
      <alignment vertical="center"/>
    </xf>
    <xf numFmtId="0" fontId="0" fillId="4" borderId="14" xfId="0" applyFill="1" applyBorder="1" applyAlignment="1">
      <alignment vertical="center" wrapText="1"/>
    </xf>
    <xf numFmtId="49" fontId="0" fillId="4" borderId="0" xfId="0" applyNumberFormat="1" applyFill="1" applyAlignment="1">
      <alignment horizontal="left" vertical="center" wrapText="1"/>
    </xf>
    <xf numFmtId="0" fontId="0" fillId="4" borderId="0" xfId="0" applyFill="1" applyAlignment="1">
      <alignment horizontal="left" vertical="center" wrapText="1"/>
    </xf>
    <xf numFmtId="44" fontId="12" fillId="4" borderId="4" xfId="2" applyFont="1" applyFill="1" applyBorder="1" applyAlignment="1" applyProtection="1">
      <alignment vertical="center"/>
    </xf>
    <xf numFmtId="44" fontId="15" fillId="4" borderId="4" xfId="0" applyNumberFormat="1" applyFont="1" applyFill="1" applyBorder="1" applyAlignment="1">
      <alignment horizontal="right" vertical="center"/>
    </xf>
    <xf numFmtId="44" fontId="15" fillId="4" borderId="4" xfId="2" applyFont="1" applyFill="1" applyBorder="1" applyAlignment="1" applyProtection="1">
      <alignment vertical="center"/>
    </xf>
    <xf numFmtId="44" fontId="15" fillId="4" borderId="0" xfId="2" applyFont="1" applyFill="1" applyBorder="1" applyAlignment="1" applyProtection="1">
      <alignment vertical="center"/>
    </xf>
    <xf numFmtId="44" fontId="15" fillId="4" borderId="0" xfId="0" applyNumberFormat="1" applyFont="1" applyFill="1" applyAlignment="1">
      <alignment horizontal="right" vertical="center"/>
    </xf>
    <xf numFmtId="0" fontId="28" fillId="4" borderId="2" xfId="0" applyFont="1" applyFill="1" applyBorder="1" applyAlignment="1">
      <alignment horizontal="center" vertical="center"/>
    </xf>
    <xf numFmtId="0" fontId="0" fillId="4" borderId="2" xfId="0" applyFill="1" applyBorder="1" applyAlignment="1">
      <alignment vertical="center"/>
    </xf>
    <xf numFmtId="44" fontId="12" fillId="4" borderId="4" xfId="2" applyFont="1" applyFill="1" applyBorder="1" applyAlignment="1" applyProtection="1">
      <alignment vertical="center"/>
      <protection locked="0"/>
    </xf>
    <xf numFmtId="0" fontId="21" fillId="4" borderId="0" xfId="0" applyFont="1" applyFill="1" applyAlignment="1">
      <alignment horizontal="center" vertical="center" wrapText="1"/>
    </xf>
    <xf numFmtId="0" fontId="37" fillId="4" borderId="0" xfId="0" applyFont="1" applyFill="1" applyAlignment="1" applyProtection="1">
      <alignment vertical="center" wrapText="1"/>
      <protection locked="0"/>
    </xf>
    <xf numFmtId="44" fontId="12" fillId="4" borderId="0" xfId="2" applyFont="1" applyFill="1" applyBorder="1" applyAlignment="1" applyProtection="1">
      <alignment vertical="center"/>
      <protection locked="0"/>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lignment horizontal="center" vertical="center" wrapText="1"/>
    </xf>
    <xf numFmtId="0" fontId="0" fillId="4" borderId="9" xfId="0" applyFill="1" applyBorder="1" applyAlignment="1">
      <alignment vertical="center"/>
    </xf>
    <xf numFmtId="0" fontId="13" fillId="4" borderId="0" xfId="0" applyFont="1" applyFill="1" applyAlignment="1">
      <alignment horizontal="center" vertical="center"/>
    </xf>
    <xf numFmtId="44" fontId="0" fillId="4" borderId="17" xfId="0" applyNumberFormat="1" applyFill="1" applyBorder="1" applyAlignment="1">
      <alignment vertical="center"/>
    </xf>
    <xf numFmtId="44" fontId="15" fillId="4" borderId="10" xfId="0" applyNumberFormat="1" applyFont="1" applyFill="1" applyBorder="1" applyAlignment="1">
      <alignment vertical="center"/>
    </xf>
    <xf numFmtId="44" fontId="0" fillId="4" borderId="15" xfId="0" applyNumberFormat="1" applyFill="1" applyBorder="1" applyAlignment="1">
      <alignment vertical="center"/>
    </xf>
    <xf numFmtId="44" fontId="0" fillId="4" borderId="19" xfId="0" applyNumberFormat="1" applyFill="1" applyBorder="1" applyAlignment="1">
      <alignment vertical="center"/>
    </xf>
    <xf numFmtId="0" fontId="13" fillId="4" borderId="9" xfId="0" applyFont="1" applyFill="1" applyBorder="1" applyAlignment="1">
      <alignment horizontal="center" vertical="center"/>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0" fillId="4" borderId="42" xfId="0" applyNumberFormat="1" applyFill="1" applyBorder="1" applyAlignment="1">
      <alignment vertical="center"/>
    </xf>
    <xf numFmtId="0" fontId="0" fillId="4" borderId="43" xfId="0" applyFill="1" applyBorder="1" applyAlignment="1">
      <alignment vertical="center"/>
    </xf>
    <xf numFmtId="0" fontId="0" fillId="4" borderId="44" xfId="0" applyFill="1" applyBorder="1" applyAlignment="1">
      <alignment vertical="center"/>
    </xf>
    <xf numFmtId="0" fontId="0" fillId="4" borderId="45" xfId="0" applyFill="1" applyBorder="1" applyAlignment="1">
      <alignment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40" fillId="4" borderId="0" xfId="0" applyFont="1" applyFill="1" applyAlignment="1">
      <alignment vertical="top"/>
    </xf>
    <xf numFmtId="44" fontId="20" fillId="4" borderId="16" xfId="0" applyNumberFormat="1" applyFont="1" applyFill="1" applyBorder="1" applyAlignment="1">
      <alignment horizontal="center" vertical="center"/>
    </xf>
    <xf numFmtId="49" fontId="18" fillId="4" borderId="26" xfId="0" applyNumberFormat="1" applyFont="1" applyFill="1" applyBorder="1" applyAlignment="1">
      <alignment vertical="center"/>
    </xf>
    <xf numFmtId="44" fontId="18" fillId="4" borderId="0" xfId="0" applyNumberFormat="1" applyFont="1" applyFill="1" applyAlignment="1">
      <alignment horizontal="left" vertical="center"/>
    </xf>
    <xf numFmtId="49" fontId="18" fillId="4" borderId="7" xfId="0" applyNumberFormat="1" applyFont="1" applyFill="1" applyBorder="1" applyAlignment="1">
      <alignment vertical="center"/>
    </xf>
    <xf numFmtId="0" fontId="41" fillId="4" borderId="0" xfId="6" applyFont="1" applyFill="1"/>
    <xf numFmtId="0" fontId="27" fillId="4" borderId="0" xfId="0" applyFont="1" applyFill="1"/>
    <xf numFmtId="44" fontId="21" fillId="4" borderId="16" xfId="0" applyNumberFormat="1" applyFont="1" applyFill="1" applyBorder="1" applyAlignment="1">
      <alignment horizontal="center" vertical="center"/>
    </xf>
    <xf numFmtId="1" fontId="21" fillId="4" borderId="5" xfId="0" applyNumberFormat="1" applyFont="1" applyFill="1" applyBorder="1" applyAlignment="1">
      <alignment horizontal="center" vertical="center"/>
    </xf>
    <xf numFmtId="166" fontId="21" fillId="4" borderId="7" xfId="0" applyNumberFormat="1" applyFont="1" applyFill="1" applyBorder="1" applyAlignment="1">
      <alignment horizontal="center" vertical="center"/>
    </xf>
    <xf numFmtId="0" fontId="21" fillId="4" borderId="5" xfId="0" applyFont="1" applyFill="1" applyBorder="1" applyAlignment="1">
      <alignment horizontal="center" vertical="center"/>
    </xf>
    <xf numFmtId="44" fontId="21" fillId="4" borderId="17" xfId="0" applyNumberFormat="1" applyFont="1" applyFill="1" applyBorder="1" applyAlignment="1">
      <alignment horizontal="center" vertical="center"/>
    </xf>
    <xf numFmtId="0" fontId="42" fillId="0" borderId="0" xfId="0" applyFont="1" applyAlignment="1">
      <alignment vertical="center"/>
    </xf>
    <xf numFmtId="0" fontId="43" fillId="4" borderId="0" xfId="0" applyFont="1" applyFill="1" applyAlignment="1">
      <alignment horizontal="left" vertical="center"/>
    </xf>
    <xf numFmtId="0" fontId="37" fillId="4" borderId="0" xfId="0" applyFont="1" applyFill="1" applyAlignment="1">
      <alignment horizontal="left" vertical="center"/>
    </xf>
    <xf numFmtId="0" fontId="16" fillId="4" borderId="0" xfId="0" applyFont="1" applyFill="1" applyAlignment="1">
      <alignment vertical="center"/>
    </xf>
    <xf numFmtId="49" fontId="43" fillId="4" borderId="7" xfId="0" applyNumberFormat="1" applyFont="1" applyFill="1" applyBorder="1" applyAlignment="1">
      <alignment horizontal="center" vertical="center"/>
    </xf>
    <xf numFmtId="0" fontId="37" fillId="4" borderId="27" xfId="0" applyFont="1" applyFill="1" applyBorder="1" applyAlignment="1">
      <alignment horizontal="center" vertical="center"/>
    </xf>
    <xf numFmtId="0" fontId="16" fillId="4" borderId="4" xfId="0" applyFont="1" applyFill="1" applyBorder="1" applyAlignment="1">
      <alignment horizontal="center" vertical="center"/>
    </xf>
    <xf numFmtId="0" fontId="37" fillId="4" borderId="4" xfId="0" applyFont="1" applyFill="1" applyBorder="1" applyAlignment="1">
      <alignment vertical="center"/>
    </xf>
    <xf numFmtId="0" fontId="16" fillId="4" borderId="4" xfId="0" applyFont="1" applyFill="1" applyBorder="1" applyAlignment="1">
      <alignment vertical="center"/>
    </xf>
    <xf numFmtId="0" fontId="37" fillId="4" borderId="0" xfId="0" applyFont="1" applyFill="1" applyAlignment="1">
      <alignment horizontal="right" vertical="center" indent="2"/>
    </xf>
    <xf numFmtId="0" fontId="37" fillId="4" borderId="0" xfId="0" applyFont="1" applyFill="1" applyAlignment="1">
      <alignment horizontal="right" vertical="center" indent="1"/>
    </xf>
    <xf numFmtId="0" fontId="37" fillId="4" borderId="0" xfId="0" applyFont="1" applyFill="1" applyAlignment="1">
      <alignment horizontal="center" vertical="center"/>
    </xf>
    <xf numFmtId="0" fontId="16" fillId="4" borderId="10"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left" vertical="center" wrapText="1"/>
    </xf>
    <xf numFmtId="0" fontId="37" fillId="0" borderId="0" xfId="0" applyFont="1" applyAlignment="1">
      <alignment horizontal="right" vertical="center" indent="2"/>
    </xf>
    <xf numFmtId="0" fontId="37" fillId="0" borderId="0" xfId="0" applyFont="1" applyAlignment="1">
      <alignment horizontal="right" vertical="center" indent="1"/>
    </xf>
    <xf numFmtId="0" fontId="16" fillId="0" borderId="1" xfId="0" applyFont="1" applyBorder="1" applyAlignment="1">
      <alignment vertical="center"/>
    </xf>
    <xf numFmtId="0" fontId="16" fillId="0" borderId="0" xfId="0" applyFont="1" applyAlignment="1">
      <alignment vertical="center" wrapText="1"/>
    </xf>
    <xf numFmtId="0" fontId="16" fillId="0" borderId="0" xfId="0" applyFont="1" applyAlignment="1">
      <alignment horizontal="right" vertical="center" indent="1"/>
    </xf>
    <xf numFmtId="0" fontId="42" fillId="4" borderId="0" xfId="0" applyFont="1" applyFill="1" applyAlignment="1">
      <alignment vertical="center"/>
    </xf>
    <xf numFmtId="1" fontId="20" fillId="4" borderId="18" xfId="6" applyNumberFormat="1" applyFont="1" applyFill="1" applyBorder="1" applyAlignment="1">
      <alignment horizontal="center" vertical="center"/>
    </xf>
    <xf numFmtId="1" fontId="20" fillId="4" borderId="16" xfId="6" applyNumberFormat="1" applyFont="1" applyFill="1" applyBorder="1" applyAlignment="1">
      <alignment horizontal="center" vertical="center"/>
    </xf>
    <xf numFmtId="1" fontId="20" fillId="4" borderId="23" xfId="6" applyNumberFormat="1" applyFont="1" applyFill="1" applyBorder="1" applyAlignment="1">
      <alignment horizontal="center" vertical="center"/>
    </xf>
    <xf numFmtId="1" fontId="22" fillId="4" borderId="2" xfId="6" applyNumberFormat="1" applyFont="1" applyFill="1" applyBorder="1" applyAlignment="1">
      <alignment horizontal="left" vertical="center"/>
    </xf>
    <xf numFmtId="44" fontId="22" fillId="4" borderId="0" xfId="6" applyNumberFormat="1" applyFont="1" applyFill="1" applyAlignment="1">
      <alignment horizontal="center" vertical="center"/>
    </xf>
    <xf numFmtId="44" fontId="22" fillId="4" borderId="24" xfId="6" applyNumberFormat="1" applyFont="1" applyFill="1" applyBorder="1" applyAlignment="1">
      <alignment horizontal="center" vertical="center"/>
    </xf>
    <xf numFmtId="0" fontId="18" fillId="4" borderId="22" xfId="0" applyFont="1" applyFill="1" applyBorder="1" applyAlignment="1">
      <alignment horizontal="left" vertical="center"/>
    </xf>
    <xf numFmtId="44" fontId="18" fillId="4" borderId="10" xfId="0" applyNumberFormat="1" applyFont="1" applyFill="1" applyBorder="1" applyAlignment="1">
      <alignment horizontal="center" vertical="center"/>
    </xf>
    <xf numFmtId="44" fontId="18" fillId="4" borderId="22" xfId="0" applyNumberFormat="1" applyFont="1" applyFill="1" applyBorder="1" applyAlignment="1">
      <alignment horizontal="center" vertical="center"/>
    </xf>
    <xf numFmtId="0" fontId="0" fillId="4" borderId="7" xfId="0"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3" fillId="4" borderId="0" xfId="6" applyFont="1" applyFill="1" applyAlignment="1">
      <alignment horizontal="center" vertical="center"/>
    </xf>
    <xf numFmtId="0" fontId="44" fillId="4"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9" fillId="4" borderId="7" xfId="6" applyFont="1" applyFill="1" applyBorder="1" applyAlignment="1">
      <alignment horizontal="center" vertical="center"/>
    </xf>
    <xf numFmtId="0" fontId="40" fillId="0" borderId="7" xfId="0" applyFont="1" applyBorder="1" applyAlignment="1">
      <alignment horizontal="center" vertical="center"/>
    </xf>
    <xf numFmtId="0" fontId="6" fillId="4" borderId="3" xfId="6" applyFont="1" applyFill="1" applyBorder="1" applyAlignment="1" applyProtection="1">
      <alignment horizontal="left" vertical="top" wrapText="1" indent="1"/>
      <protection locked="0"/>
    </xf>
    <xf numFmtId="0" fontId="0" fillId="4" borderId="7" xfId="0" applyFill="1" applyBorder="1" applyAlignment="1">
      <alignment horizontal="left" vertical="top" wrapText="1" indent="1"/>
    </xf>
    <xf numFmtId="0" fontId="0" fillId="4" borderId="15" xfId="0" applyFill="1" applyBorder="1" applyAlignment="1">
      <alignment horizontal="left" vertical="top" wrapText="1" indent="1"/>
    </xf>
    <xf numFmtId="0" fontId="0" fillId="4" borderId="4" xfId="0" applyFill="1" applyBorder="1" applyAlignment="1">
      <alignment horizontal="left" vertical="top" wrapText="1" indent="1"/>
    </xf>
    <xf numFmtId="0" fontId="0" fillId="4" borderId="0" xfId="0" applyFill="1" applyAlignment="1">
      <alignment horizontal="left" vertical="top" wrapText="1" indent="1"/>
    </xf>
    <xf numFmtId="0" fontId="0" fillId="4" borderId="9" xfId="0" applyFill="1" applyBorder="1" applyAlignment="1">
      <alignment horizontal="left" vertical="top" wrapText="1" indent="1"/>
    </xf>
    <xf numFmtId="0" fontId="0" fillId="4" borderId="5" xfId="0" applyFill="1" applyBorder="1" applyAlignment="1">
      <alignment horizontal="left" vertical="top" wrapText="1" indent="1"/>
    </xf>
    <xf numFmtId="0" fontId="0" fillId="4" borderId="10" xfId="0" applyFill="1" applyBorder="1" applyAlignment="1">
      <alignment horizontal="left" vertical="top" wrapText="1" indent="1"/>
    </xf>
    <xf numFmtId="0" fontId="0" fillId="4" borderId="17" xfId="0" applyFill="1" applyBorder="1" applyAlignment="1">
      <alignment horizontal="left" vertical="top" wrapText="1" indent="1"/>
    </xf>
    <xf numFmtId="0" fontId="45" fillId="4" borderId="0" xfId="0" applyFont="1" applyFill="1" applyAlignment="1">
      <alignment horizontal="center" vertical="center"/>
    </xf>
    <xf numFmtId="0" fontId="35" fillId="4" borderId="0" xfId="0" applyFont="1" applyFill="1" applyAlignment="1">
      <alignment horizontal="center" vertical="center"/>
    </xf>
    <xf numFmtId="0" fontId="26"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horizontal="center" vertical="center"/>
    </xf>
    <xf numFmtId="0" fontId="15" fillId="0" borderId="0" xfId="0" applyFont="1" applyAlignment="1">
      <alignment horizontal="center" vertical="center"/>
    </xf>
    <xf numFmtId="0" fontId="26" fillId="5" borderId="10" xfId="0" applyFont="1" applyFill="1" applyBorder="1" applyAlignment="1">
      <alignment vertical="center"/>
    </xf>
    <xf numFmtId="0" fontId="19" fillId="4" borderId="8" xfId="0" applyFont="1" applyFill="1" applyBorder="1" applyAlignment="1">
      <alignment horizontal="center" vertical="center"/>
    </xf>
    <xf numFmtId="0" fontId="24" fillId="4" borderId="8" xfId="0" applyFont="1" applyFill="1" applyBorder="1" applyAlignment="1">
      <alignment horizontal="center" vertical="center"/>
    </xf>
    <xf numFmtId="5" fontId="28" fillId="0" borderId="3"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28"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5" xfId="0" applyFont="1" applyFill="1" applyBorder="1" applyAlignment="1">
      <alignment horizontal="center" vertical="center"/>
    </xf>
    <xf numFmtId="5" fontId="28" fillId="0" borderId="19"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0" fillId="4" borderId="0" xfId="0" applyFill="1" applyAlignment="1">
      <alignment vertical="center" wrapText="1"/>
    </xf>
    <xf numFmtId="0" fontId="21" fillId="0" borderId="0" xfId="0" applyFont="1" applyAlignment="1">
      <alignment vertical="center" wrapText="1"/>
    </xf>
    <xf numFmtId="0" fontId="0" fillId="0" borderId="0" xfId="0" applyAlignment="1">
      <alignment vertical="center"/>
    </xf>
    <xf numFmtId="0" fontId="21" fillId="4" borderId="3" xfId="0" applyFont="1" applyFill="1" applyBorder="1" applyAlignment="1">
      <alignment vertical="center" wrapText="1"/>
    </xf>
    <xf numFmtId="0" fontId="0" fillId="0" borderId="7" xfId="0" applyBorder="1" applyAlignment="1">
      <alignment vertical="center"/>
    </xf>
    <xf numFmtId="0" fontId="0" fillId="0" borderId="15" xfId="0" applyBorder="1" applyAlignment="1">
      <alignment vertical="center"/>
    </xf>
    <xf numFmtId="0" fontId="0" fillId="4" borderId="0" xfId="0" applyFill="1" applyAlignment="1">
      <alignment horizontal="left" vertical="center" wrapText="1"/>
    </xf>
    <xf numFmtId="0" fontId="0" fillId="4" borderId="0" xfId="0" applyFill="1" applyAlignment="1">
      <alignment horizontal="left" vertical="center"/>
    </xf>
    <xf numFmtId="0" fontId="46" fillId="4" borderId="0" xfId="0" applyFont="1" applyFill="1" applyAlignment="1">
      <alignment horizontal="left" vertical="center" wrapText="1"/>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horizontal="right" vertical="center" indent="2"/>
    </xf>
    <xf numFmtId="0" fontId="15" fillId="4" borderId="41" xfId="0" applyFont="1" applyFill="1" applyBorder="1" applyAlignment="1">
      <alignment horizontal="right" vertical="center" indent="2"/>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15" fillId="4" borderId="40" xfId="0" applyNumberFormat="1" applyFont="1" applyFill="1" applyBorder="1" applyAlignment="1">
      <alignment horizontal="right" vertical="center" indent="1"/>
    </xf>
    <xf numFmtId="0" fontId="15" fillId="4" borderId="41" xfId="0" applyFont="1" applyFill="1" applyBorder="1" applyAlignment="1">
      <alignment horizontal="right" vertical="center" indent="1"/>
    </xf>
    <xf numFmtId="49" fontId="28" fillId="4" borderId="46" xfId="0" applyNumberFormat="1" applyFont="1" applyFill="1" applyBorder="1" applyAlignment="1">
      <alignment horizontal="center" vertical="center"/>
    </xf>
    <xf numFmtId="0" fontId="28" fillId="4" borderId="47" xfId="0" applyFont="1" applyFill="1" applyBorder="1" applyAlignment="1">
      <alignment horizontal="center" vertical="center"/>
    </xf>
    <xf numFmtId="0" fontId="21" fillId="4" borderId="48" xfId="0" applyFont="1" applyFill="1" applyBorder="1" applyAlignment="1">
      <alignment vertical="center"/>
    </xf>
    <xf numFmtId="0" fontId="21" fillId="4" borderId="49" xfId="0" applyFont="1" applyFill="1" applyBorder="1" applyAlignment="1">
      <alignment vertical="center"/>
    </xf>
    <xf numFmtId="0" fontId="15" fillId="4" borderId="44" xfId="0" applyFont="1" applyFill="1" applyBorder="1" applyAlignment="1">
      <alignment vertical="center"/>
    </xf>
    <xf numFmtId="0" fontId="0" fillId="0" borderId="45" xfId="0" applyBorder="1" applyAlignment="1">
      <alignment vertical="center"/>
    </xf>
    <xf numFmtId="17" fontId="20" fillId="4" borderId="24" xfId="0" applyNumberFormat="1" applyFont="1" applyFill="1" applyBorder="1" applyAlignment="1">
      <alignment horizontal="center" vertical="center"/>
    </xf>
    <xf numFmtId="17" fontId="20" fillId="4" borderId="22" xfId="0" applyNumberFormat="1" applyFont="1" applyFill="1" applyBorder="1" applyAlignment="1">
      <alignment horizontal="center" vertical="center"/>
    </xf>
    <xf numFmtId="164" fontId="20" fillId="4" borderId="24" xfId="2" applyNumberFormat="1" applyFont="1" applyFill="1" applyBorder="1" applyAlignment="1" applyProtection="1">
      <alignment horizontal="center" vertical="center" wrapText="1"/>
    </xf>
    <xf numFmtId="164" fontId="20" fillId="4" borderId="22" xfId="2" applyNumberFormat="1" applyFont="1" applyFill="1" applyBorder="1" applyAlignment="1" applyProtection="1">
      <alignment horizontal="center" vertical="center" wrapText="1"/>
    </xf>
    <xf numFmtId="49" fontId="0" fillId="4" borderId="50" xfId="0" applyNumberFormat="1" applyFill="1" applyBorder="1" applyAlignment="1">
      <alignment vertical="center"/>
    </xf>
    <xf numFmtId="0" fontId="0" fillId="4" borderId="51" xfId="0" applyFill="1" applyBorder="1" applyAlignment="1">
      <alignment vertical="center"/>
    </xf>
    <xf numFmtId="49" fontId="15" fillId="4" borderId="52" xfId="0" applyNumberFormat="1" applyFont="1" applyFill="1" applyBorder="1" applyAlignment="1">
      <alignment vertical="center"/>
    </xf>
    <xf numFmtId="0" fontId="15" fillId="4" borderId="53" xfId="0" applyFont="1" applyFill="1" applyBorder="1" applyAlignment="1">
      <alignment vertical="center"/>
    </xf>
    <xf numFmtId="49" fontId="17" fillId="4" borderId="16" xfId="0" applyNumberFormat="1" applyFont="1" applyFill="1" applyBorder="1" applyAlignment="1">
      <alignment horizontal="center" vertical="center"/>
    </xf>
    <xf numFmtId="49" fontId="28" fillId="4" borderId="28" xfId="0" applyNumberFormat="1" applyFont="1" applyFill="1" applyBorder="1" applyAlignment="1">
      <alignment horizontal="center" vertical="center"/>
    </xf>
    <xf numFmtId="0" fontId="28"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17" fontId="20" fillId="4" borderId="24" xfId="0" applyNumberFormat="1" applyFont="1" applyFill="1" applyBorder="1" applyAlignment="1">
      <alignment horizontal="center" vertical="center" wrapText="1"/>
    </xf>
    <xf numFmtId="17" fontId="20" fillId="4" borderId="22" xfId="0" applyNumberFormat="1" applyFont="1" applyFill="1" applyBorder="1" applyAlignment="1">
      <alignment horizontal="center" vertical="center" wrapText="1"/>
    </xf>
    <xf numFmtId="49" fontId="0" fillId="4" borderId="19"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23" xfId="0" applyBorder="1" applyAlignment="1">
      <alignment vertical="center" wrapText="1"/>
    </xf>
    <xf numFmtId="49" fontId="47" fillId="4" borderId="10" xfId="0" applyNumberFormat="1" applyFont="1" applyFill="1" applyBorder="1" applyAlignment="1">
      <alignment horizontal="center" vertical="center"/>
    </xf>
    <xf numFmtId="0" fontId="0" fillId="4" borderId="10" xfId="0" applyFill="1" applyBorder="1" applyAlignment="1">
      <alignment horizontal="center" vertical="center"/>
    </xf>
    <xf numFmtId="49" fontId="48" fillId="4" borderId="32" xfId="0" applyNumberFormat="1" applyFont="1" applyFill="1" applyBorder="1" applyAlignment="1">
      <alignment horizontal="left" vertical="center" wrapText="1"/>
    </xf>
    <xf numFmtId="0" fontId="48" fillId="0" borderId="33"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8" xfId="0" applyBorder="1" applyAlignment="1">
      <alignment horizontal="center" vertical="center"/>
    </xf>
    <xf numFmtId="17" fontId="20" fillId="4" borderId="35" xfId="0" applyNumberFormat="1" applyFont="1" applyFill="1" applyBorder="1" applyAlignment="1">
      <alignment horizontal="center" vertical="center"/>
    </xf>
    <xf numFmtId="17" fontId="20" fillId="4" borderId="31" xfId="0" applyNumberFormat="1" applyFont="1" applyFill="1" applyBorder="1" applyAlignment="1">
      <alignment horizontal="center" vertical="center"/>
    </xf>
    <xf numFmtId="17" fontId="20" fillId="4" borderId="36" xfId="0" applyNumberFormat="1" applyFont="1" applyFill="1" applyBorder="1" applyAlignment="1">
      <alignment horizontal="center" vertical="center"/>
    </xf>
    <xf numFmtId="17" fontId="20" fillId="4" borderId="30" xfId="0" applyNumberFormat="1" applyFont="1" applyFill="1" applyBorder="1" applyAlignment="1">
      <alignment horizontal="center" vertical="center"/>
    </xf>
    <xf numFmtId="49" fontId="0" fillId="4" borderId="40" xfId="0" applyNumberFormat="1" applyFill="1" applyBorder="1" applyAlignment="1">
      <alignment vertical="center" wrapText="1"/>
    </xf>
    <xf numFmtId="0" fontId="0" fillId="4" borderId="41" xfId="0" applyFill="1" applyBorder="1" applyAlignment="1">
      <alignment vertical="center" wrapText="1"/>
    </xf>
    <xf numFmtId="49" fontId="15" fillId="4" borderId="6" xfId="0" applyNumberFormat="1" applyFont="1" applyFill="1" applyBorder="1" applyAlignment="1">
      <alignment horizontal="right" vertical="center" indent="1"/>
    </xf>
    <xf numFmtId="0" fontId="15" fillId="4" borderId="21" xfId="0" applyFont="1" applyFill="1" applyBorder="1" applyAlignment="1">
      <alignment horizontal="right" vertical="center" indent="1"/>
    </xf>
    <xf numFmtId="0" fontId="0" fillId="4" borderId="0" xfId="0" applyFill="1" applyAlignment="1">
      <alignment vertical="center"/>
    </xf>
    <xf numFmtId="0" fontId="0" fillId="0" borderId="0" xfId="0" applyAlignment="1">
      <alignment vertical="center" wrapText="1"/>
    </xf>
    <xf numFmtId="49" fontId="0" fillId="4" borderId="40" xfId="0" applyNumberFormat="1" applyFill="1" applyBorder="1" applyAlignment="1">
      <alignment horizontal="right" vertical="center" indent="1"/>
    </xf>
    <xf numFmtId="0" fontId="0" fillId="4" borderId="41" xfId="0" applyFill="1" applyBorder="1" applyAlignment="1">
      <alignment horizontal="right" vertical="center" indent="1"/>
    </xf>
    <xf numFmtId="0" fontId="37" fillId="4" borderId="10" xfId="0" applyFont="1" applyFill="1" applyBorder="1" applyAlignment="1">
      <alignment vertical="center" wrapText="1"/>
    </xf>
    <xf numFmtId="0" fontId="0" fillId="4" borderId="10" xfId="0" applyFill="1" applyBorder="1" applyAlignment="1">
      <alignment vertical="center" wrapText="1"/>
    </xf>
    <xf numFmtId="49" fontId="15" fillId="4" borderId="50" xfId="0" applyNumberFormat="1" applyFont="1" applyFill="1" applyBorder="1" applyAlignment="1">
      <alignment vertical="center"/>
    </xf>
    <xf numFmtId="0" fontId="15" fillId="4" borderId="51" xfId="0" applyFont="1" applyFill="1" applyBorder="1" applyAlignment="1">
      <alignment vertical="center"/>
    </xf>
    <xf numFmtId="49" fontId="0" fillId="0" borderId="50" xfId="0" applyNumberFormat="1" applyBorder="1" applyAlignment="1">
      <alignment vertical="center"/>
    </xf>
    <xf numFmtId="0" fontId="0" fillId="0" borderId="51" xfId="0" applyBorder="1" applyAlignment="1">
      <alignment vertical="center"/>
    </xf>
    <xf numFmtId="0" fontId="0" fillId="0" borderId="41" xfId="0" applyBorder="1" applyAlignment="1">
      <alignment vertical="center"/>
    </xf>
    <xf numFmtId="0" fontId="15" fillId="4" borderId="24" xfId="0" applyFont="1" applyFill="1" applyBorder="1" applyAlignment="1">
      <alignment horizontal="center" vertical="center"/>
    </xf>
    <xf numFmtId="0" fontId="0" fillId="0" borderId="22" xfId="0" applyBorder="1" applyAlignment="1">
      <alignment vertical="center"/>
    </xf>
    <xf numFmtId="0" fontId="28" fillId="4" borderId="24" xfId="0" applyFont="1" applyFill="1" applyBorder="1" applyAlignment="1">
      <alignment horizontal="center" vertical="center"/>
    </xf>
    <xf numFmtId="0" fontId="28" fillId="0" borderId="0" xfId="0" applyFont="1" applyAlignment="1">
      <alignment horizontal="center" vertical="center"/>
    </xf>
    <xf numFmtId="0" fontId="36" fillId="5" borderId="24"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lignment vertical="center" wrapText="1"/>
    </xf>
    <xf numFmtId="0" fontId="0" fillId="0" borderId="22" xfId="0" applyBorder="1" applyAlignment="1">
      <alignment vertical="center" wrapText="1"/>
    </xf>
    <xf numFmtId="0" fontId="37" fillId="5" borderId="24" xfId="0" applyFont="1" applyFill="1" applyBorder="1" applyAlignment="1" applyProtection="1">
      <alignment vertical="center" wrapText="1"/>
      <protection locked="0"/>
    </xf>
    <xf numFmtId="0" fontId="35" fillId="0" borderId="8" xfId="0" applyFont="1" applyBorder="1" applyAlignment="1">
      <alignment horizontal="center" vertical="center"/>
    </xf>
    <xf numFmtId="0" fontId="0" fillId="0" borderId="22" xfId="0" applyBorder="1" applyAlignment="1">
      <alignment horizontal="center" vertical="center"/>
    </xf>
    <xf numFmtId="0" fontId="21" fillId="5" borderId="24" xfId="0" applyFont="1"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0" fillId="5" borderId="22" xfId="0"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49" fillId="0" borderId="0" xfId="0" applyFont="1" applyAlignment="1">
      <alignment horizontal="center" vertical="center"/>
    </xf>
    <xf numFmtId="0" fontId="18" fillId="0" borderId="0" xfId="0" applyFont="1" applyAlignment="1">
      <alignment horizontal="center" vertical="center"/>
    </xf>
    <xf numFmtId="0" fontId="48" fillId="4" borderId="11" xfId="0" applyFont="1" applyFill="1" applyBorder="1" applyAlignment="1">
      <alignment horizontal="center" vertical="center" wrapText="1"/>
    </xf>
    <xf numFmtId="0" fontId="50" fillId="4" borderId="8" xfId="0" applyFont="1" applyFill="1" applyBorder="1" applyAlignment="1">
      <alignment vertical="center" wrapText="1"/>
    </xf>
    <xf numFmtId="0" fontId="50" fillId="4" borderId="12" xfId="0" applyFont="1" applyFill="1" applyBorder="1" applyAlignment="1">
      <alignment vertical="center" wrapText="1"/>
    </xf>
    <xf numFmtId="0" fontId="24" fillId="4" borderId="6"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21" xfId="0" applyFont="1" applyFill="1" applyBorder="1" applyAlignment="1">
      <alignment horizontal="center" vertical="center"/>
    </xf>
    <xf numFmtId="0" fontId="0" fillId="5" borderId="10" xfId="0" applyFill="1" applyBorder="1" applyAlignment="1"/>
    <xf numFmtId="0" fontId="0" fillId="0" borderId="5" xfId="0" applyBorder="1" applyAlignment="1"/>
    <xf numFmtId="0" fontId="0" fillId="0" borderId="10" xfId="0" applyBorder="1" applyAlignment="1"/>
    <xf numFmtId="0" fontId="0" fillId="0" borderId="17" xfId="0" applyBorder="1" applyAlignment="1"/>
  </cellXfs>
  <cellStyles count="8">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s>
  <dxfs count="69">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6:G306" totalsRowShown="0" headerRowDxfId="14" dataDxfId="13">
  <autoFilter ref="C16:G306" xr:uid="{00000000-0009-0000-0100-000001000000}"/>
  <tableColumns count="5">
    <tableColumn id="1" xr3:uid="{00000000-0010-0000-0000-000001000000}" name="School Corporation" dataDxfId="11" totalsRowDxfId="12"/>
    <tableColumn id="2" xr3:uid="{00000000-0010-0000-0000-000002000000}" name="FY 22 Index" dataDxfId="9" totalsRowDxfId="10"/>
    <tableColumn id="3" xr3:uid="{00000000-0010-0000-0000-000003000000}" name="FY 22 $/ADM" dataDxfId="7" totalsRowDxfId="8"/>
    <tableColumn id="5" xr3:uid="{00000000-0010-0000-0000-000005000000}" name="FY 23 Index2" dataDxfId="5" totalsRowDxfId="6"/>
    <tableColumn id="4" xr3:uid="{00000000-0010-0000-0000-000004000000}" name="FY 23 $/ADM" dataDxfId="3" totalsRowDxfId="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7:J30" totalsRowShown="0" headerRowDxfId="2" dataDxfId="1">
  <autoFilter ref="J27:J30" xr:uid="{00000000-0009-0000-0100-000026000000}"/>
  <tableColumns count="1">
    <tableColumn id="1" xr3:uid="{00000000-0010-0000-0100-000001000000}" name="Adult High Schoo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S27"/>
  <sheetViews>
    <sheetView workbookViewId="0">
      <selection activeCell="E8" sqref="E8"/>
    </sheetView>
  </sheetViews>
  <sheetFormatPr defaultRowHeight="15"/>
  <cols>
    <col min="1" max="3" width="3" style="109" customWidth="1"/>
    <col min="4" max="4" width="30.7109375" style="109" customWidth="1"/>
    <col min="5" max="5" width="64.140625" style="109" customWidth="1"/>
    <col min="6" max="6" width="3" style="109" customWidth="1"/>
    <col min="7" max="16384" width="9.140625" style="109"/>
  </cols>
  <sheetData>
    <row r="1" spans="1:19" ht="15" customHeight="1" thickBot="1">
      <c r="A1" s="108"/>
      <c r="B1" s="108"/>
      <c r="C1" s="108"/>
      <c r="D1" s="108"/>
      <c r="E1" s="108"/>
      <c r="F1" s="108"/>
      <c r="H1" s="110"/>
    </row>
    <row r="2" spans="1:19" ht="15" customHeight="1">
      <c r="A2" s="108"/>
      <c r="B2" s="111"/>
      <c r="C2" s="112"/>
      <c r="D2" s="112"/>
      <c r="E2" s="112"/>
      <c r="F2" s="113"/>
    </row>
    <row r="3" spans="1:19" ht="18.75">
      <c r="A3" s="108"/>
      <c r="B3" s="114"/>
      <c r="C3" s="502" t="s">
        <v>0</v>
      </c>
      <c r="D3" s="503"/>
      <c r="E3" s="503"/>
      <c r="F3" s="115"/>
    </row>
    <row r="4" spans="1:19" ht="15" customHeight="1">
      <c r="A4" s="108"/>
      <c r="B4" s="114"/>
      <c r="C4" s="116"/>
      <c r="D4" s="117" t="s">
        <v>1</v>
      </c>
      <c r="E4" s="118"/>
      <c r="F4" s="115"/>
    </row>
    <row r="5" spans="1:19" ht="15" customHeight="1">
      <c r="A5" s="108"/>
      <c r="B5" s="114"/>
      <c r="C5" s="119"/>
      <c r="D5" s="119"/>
      <c r="E5" s="120"/>
      <c r="F5" s="115"/>
      <c r="H5" s="121"/>
    </row>
    <row r="6" spans="1:19" ht="15" customHeight="1">
      <c r="A6" s="108"/>
      <c r="B6" s="114"/>
      <c r="C6" s="119"/>
      <c r="D6" s="122" t="s">
        <v>2</v>
      </c>
      <c r="E6" s="123" t="s">
        <v>3</v>
      </c>
      <c r="F6" s="115"/>
      <c r="H6" s="121"/>
    </row>
    <row r="7" spans="1:19" ht="15" customHeight="1">
      <c r="A7" s="108"/>
      <c r="B7" s="114"/>
      <c r="C7" s="119"/>
      <c r="D7" s="122" t="s">
        <v>4</v>
      </c>
      <c r="E7" s="124">
        <v>2023</v>
      </c>
      <c r="F7" s="115"/>
      <c r="H7" s="121"/>
    </row>
    <row r="8" spans="1:19" ht="15" customHeight="1">
      <c r="A8" s="108"/>
      <c r="B8" s="114"/>
      <c r="C8" s="119"/>
      <c r="D8" s="122" t="s">
        <v>5</v>
      </c>
      <c r="E8" s="123" t="s">
        <v>6</v>
      </c>
      <c r="F8" s="115"/>
      <c r="H8" s="121"/>
    </row>
    <row r="9" spans="1:19" ht="15" customHeight="1">
      <c r="A9" s="108"/>
      <c r="B9" s="114"/>
      <c r="C9" s="125"/>
      <c r="D9" s="126"/>
      <c r="E9" s="127"/>
      <c r="F9" s="115"/>
      <c r="H9" s="121"/>
      <c r="I9" s="121"/>
      <c r="J9" s="121"/>
      <c r="K9" s="121"/>
      <c r="L9" s="121"/>
      <c r="M9" s="121"/>
    </row>
    <row r="10" spans="1:19" ht="112.5" customHeight="1">
      <c r="A10" s="108"/>
      <c r="B10" s="114"/>
      <c r="C10" s="128"/>
      <c r="D10" s="129" t="s">
        <v>7</v>
      </c>
      <c r="E10" s="130" t="s">
        <v>8</v>
      </c>
      <c r="F10" s="115"/>
      <c r="H10" s="121"/>
      <c r="I10" s="121"/>
      <c r="J10" s="121"/>
      <c r="K10" s="121"/>
      <c r="L10" s="121"/>
      <c r="M10" s="121"/>
    </row>
    <row r="11" spans="1:19" s="136" customFormat="1" ht="40.5" customHeight="1">
      <c r="A11" s="131"/>
      <c r="B11" s="132"/>
      <c r="C11" s="133"/>
      <c r="D11" s="134" t="s">
        <v>9</v>
      </c>
      <c r="E11" s="130" t="s">
        <v>10</v>
      </c>
      <c r="F11" s="135"/>
      <c r="H11" s="137"/>
    </row>
    <row r="12" spans="1:19" s="136" customFormat="1" ht="239.25" customHeight="1">
      <c r="A12" s="131"/>
      <c r="B12" s="132"/>
      <c r="C12" s="138"/>
      <c r="D12" s="134" t="s">
        <v>11</v>
      </c>
      <c r="E12" s="130" t="s">
        <v>12</v>
      </c>
      <c r="F12" s="135"/>
      <c r="H12" s="504"/>
      <c r="I12" s="504"/>
      <c r="J12" s="504"/>
      <c r="K12" s="504"/>
      <c r="L12" s="504"/>
      <c r="M12" s="504"/>
      <c r="N12" s="504"/>
      <c r="O12" s="504"/>
      <c r="P12" s="504"/>
      <c r="Q12" s="504"/>
      <c r="R12" s="504"/>
      <c r="S12" s="504"/>
    </row>
    <row r="13" spans="1:19" ht="35.25" customHeight="1">
      <c r="A13" s="108"/>
      <c r="B13" s="114"/>
      <c r="C13" s="120"/>
      <c r="D13" s="139" t="s">
        <v>13</v>
      </c>
      <c r="E13" s="130" t="s">
        <v>14</v>
      </c>
      <c r="F13" s="115"/>
      <c r="H13" s="140"/>
      <c r="I13" s="140"/>
      <c r="J13" s="140"/>
      <c r="K13" s="140"/>
      <c r="L13" s="140"/>
      <c r="M13" s="140"/>
      <c r="N13" s="140"/>
      <c r="O13" s="140"/>
      <c r="P13" s="140"/>
      <c r="Q13" s="140"/>
      <c r="R13" s="140"/>
      <c r="S13" s="140"/>
    </row>
    <row r="14" spans="1:19" ht="72" customHeight="1">
      <c r="A14" s="108"/>
      <c r="B14" s="114"/>
      <c r="C14" s="120"/>
      <c r="D14" s="139" t="s">
        <v>15</v>
      </c>
      <c r="E14" s="130" t="s">
        <v>16</v>
      </c>
      <c r="F14" s="115"/>
      <c r="H14" s="504"/>
      <c r="I14" s="504"/>
      <c r="J14" s="504"/>
      <c r="K14" s="504"/>
      <c r="L14" s="504"/>
      <c r="M14" s="504"/>
      <c r="N14" s="504"/>
      <c r="O14" s="504"/>
      <c r="P14" s="504"/>
      <c r="Q14" s="504"/>
      <c r="R14" s="504"/>
      <c r="S14" s="504"/>
    </row>
    <row r="15" spans="1:19" ht="164.25" customHeight="1">
      <c r="A15" s="108"/>
      <c r="B15" s="114"/>
      <c r="C15" s="120"/>
      <c r="D15" s="141" t="s">
        <v>17</v>
      </c>
      <c r="E15" s="130" t="s">
        <v>18</v>
      </c>
      <c r="F15" s="115"/>
      <c r="H15" s="505"/>
      <c r="I15" s="505"/>
      <c r="J15" s="505"/>
      <c r="K15" s="505"/>
      <c r="L15" s="505"/>
      <c r="M15" s="505"/>
      <c r="N15" s="505"/>
      <c r="O15" s="505"/>
      <c r="P15" s="505"/>
      <c r="Q15" s="505"/>
      <c r="R15" s="505"/>
      <c r="S15" s="505"/>
    </row>
    <row r="16" spans="1:19" ht="15" customHeight="1">
      <c r="A16" s="108"/>
      <c r="B16" s="114"/>
      <c r="C16" s="120"/>
      <c r="D16" s="142"/>
      <c r="E16" s="143"/>
      <c r="F16" s="115"/>
    </row>
    <row r="17" spans="1:10" ht="15" customHeight="1" thickBot="1">
      <c r="A17" s="108"/>
      <c r="B17" s="144"/>
      <c r="C17" s="145"/>
      <c r="D17" s="145"/>
      <c r="E17" s="146"/>
      <c r="F17" s="147" t="s">
        <v>19</v>
      </c>
    </row>
    <row r="18" spans="1:10" ht="15" customHeight="1">
      <c r="A18" s="108"/>
      <c r="B18" s="108"/>
      <c r="C18" s="108"/>
      <c r="D18" s="108"/>
      <c r="E18" s="108"/>
      <c r="F18" s="108"/>
    </row>
    <row r="19" spans="1:10">
      <c r="A19" s="108"/>
    </row>
    <row r="27" spans="1:10">
      <c r="J27" s="148"/>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topLeftCell="A6" workbookViewId="0">
      <selection activeCell="I28" sqref="I28"/>
    </sheetView>
  </sheetViews>
  <sheetFormatPr defaultRowHeight="15"/>
  <cols>
    <col min="1" max="3" width="3" style="109" customWidth="1"/>
    <col min="4" max="4" width="26.42578125" style="109" customWidth="1"/>
    <col min="5" max="7" width="14.28515625" style="109" customWidth="1"/>
    <col min="8" max="8" width="15.42578125" style="109" customWidth="1"/>
    <col min="9" max="9" width="14.42578125" style="109" customWidth="1"/>
    <col min="10" max="10" width="3.28515625" style="109" customWidth="1"/>
    <col min="11" max="16" width="14.42578125" style="109" customWidth="1"/>
    <col min="17" max="18" width="3" style="109" customWidth="1"/>
    <col min="19" max="25" width="9.140625" style="109" customWidth="1"/>
    <col min="26" max="16384" width="9.140625" style="109"/>
  </cols>
  <sheetData>
    <row r="1" spans="2:18" ht="15" customHeight="1" thickBot="1"/>
    <row r="2" spans="2:18" ht="15" customHeight="1">
      <c r="B2" s="149"/>
      <c r="C2" s="150"/>
      <c r="D2" s="150"/>
      <c r="E2" s="150"/>
      <c r="F2" s="150"/>
      <c r="G2" s="150"/>
      <c r="H2" s="150"/>
      <c r="I2" s="150"/>
      <c r="J2" s="150"/>
      <c r="K2" s="150"/>
      <c r="L2" s="150"/>
      <c r="M2" s="150"/>
      <c r="N2" s="150"/>
      <c r="O2" s="150"/>
      <c r="P2" s="150"/>
      <c r="Q2" s="150"/>
      <c r="R2" s="151"/>
    </row>
    <row r="3" spans="2:18" ht="18.75">
      <c r="B3" s="152"/>
      <c r="C3" s="153"/>
      <c r="D3" s="517" t="s">
        <v>20</v>
      </c>
      <c r="E3" s="518"/>
      <c r="F3" s="518"/>
      <c r="G3" s="518"/>
      <c r="H3" s="518"/>
      <c r="I3" s="518"/>
      <c r="J3" s="326"/>
      <c r="K3" s="326"/>
      <c r="L3" s="326"/>
      <c r="M3" s="326"/>
      <c r="N3" s="326"/>
      <c r="O3" s="326"/>
      <c r="P3" s="326"/>
      <c r="Q3" s="154"/>
      <c r="R3" s="155"/>
    </row>
    <row r="4" spans="2:18" ht="15" customHeight="1">
      <c r="B4" s="152"/>
      <c r="C4" s="153"/>
      <c r="D4" s="519" t="s">
        <v>21</v>
      </c>
      <c r="E4" s="520"/>
      <c r="F4" s="520"/>
      <c r="G4" s="520"/>
      <c r="H4" s="520"/>
      <c r="I4" s="520"/>
      <c r="J4" s="154"/>
      <c r="K4" s="154"/>
      <c r="L4" s="154"/>
      <c r="M4" s="154"/>
      <c r="N4" s="154"/>
      <c r="O4" s="154"/>
      <c r="P4" s="154"/>
      <c r="Q4" s="154"/>
      <c r="R4" s="155"/>
    </row>
    <row r="5" spans="2:18" ht="15" customHeight="1">
      <c r="B5" s="152"/>
      <c r="C5" s="153"/>
      <c r="D5" s="521"/>
      <c r="E5" s="522"/>
      <c r="F5" s="522"/>
      <c r="G5" s="522"/>
      <c r="H5" s="522"/>
      <c r="I5" s="522"/>
      <c r="J5" s="98"/>
      <c r="K5" s="328"/>
      <c r="L5" s="328"/>
      <c r="M5" s="328"/>
      <c r="N5" s="328"/>
      <c r="O5" s="328"/>
      <c r="P5" s="328"/>
      <c r="Q5" s="153"/>
      <c r="R5" s="155"/>
    </row>
    <row r="6" spans="2:18" ht="15" customHeight="1">
      <c r="B6" s="152"/>
      <c r="C6" s="153"/>
      <c r="D6" s="156" t="s">
        <v>22</v>
      </c>
      <c r="E6" s="157"/>
      <c r="F6" s="158" t="str">
        <f>IF(ISBLANK('1. Instructions'!E6),"Please enter School Name on Tab 1.",'1. Instructions'!E6)</f>
        <v>GEO Acadmies - South Bend/Elkhart</v>
      </c>
      <c r="G6" s="159"/>
      <c r="H6" s="160"/>
      <c r="I6" s="159"/>
      <c r="J6" s="159"/>
      <c r="K6" s="159"/>
      <c r="L6" s="159"/>
      <c r="M6" s="159"/>
      <c r="N6" s="159"/>
      <c r="O6" s="159"/>
      <c r="P6" s="159"/>
      <c r="Q6" s="159"/>
      <c r="R6" s="155"/>
    </row>
    <row r="7" spans="2:18" ht="15" customHeight="1">
      <c r="B7" s="152"/>
      <c r="C7" s="153"/>
      <c r="D7" s="156" t="s">
        <v>23</v>
      </c>
      <c r="E7" s="161"/>
      <c r="F7" s="162">
        <f>IF(ISBLANK('1. Instructions'!E7),"Please enter School's Opening Year on Tab 1.",'1. Instructions'!E7)</f>
        <v>2023</v>
      </c>
      <c r="G7" s="159"/>
      <c r="H7" s="160"/>
      <c r="I7" s="163" t="s">
        <v>24</v>
      </c>
      <c r="J7" s="163"/>
      <c r="K7" s="163"/>
      <c r="L7" s="163"/>
      <c r="M7" s="163"/>
      <c r="N7" s="163"/>
      <c r="O7" s="163"/>
      <c r="P7" s="163"/>
      <c r="Q7" s="159"/>
      <c r="R7" s="155"/>
    </row>
    <row r="8" spans="2:18" ht="15" customHeight="1">
      <c r="B8" s="152"/>
      <c r="C8" s="153"/>
      <c r="D8" s="156" t="s">
        <v>25</v>
      </c>
      <c r="E8" s="161"/>
      <c r="F8" s="162" t="str">
        <f>IF(ISNUMBER(SEARCH("Select from drop-down list →",'1. Instructions'!E8)),"Please enter School's Planned Location on Tab 1.",'1. Instructions'!E8)</f>
        <v>South Bend Community Sch Corp</v>
      </c>
      <c r="G8" s="159"/>
      <c r="H8" s="160"/>
      <c r="I8" s="163" t="s">
        <v>24</v>
      </c>
      <c r="J8" s="163"/>
      <c r="K8" s="163"/>
      <c r="L8" s="163"/>
      <c r="M8" s="163"/>
      <c r="N8" s="163"/>
      <c r="O8" s="163"/>
      <c r="P8" s="163"/>
      <c r="Q8" s="159"/>
      <c r="R8" s="155"/>
    </row>
    <row r="9" spans="2:18" ht="15" customHeight="1">
      <c r="B9" s="152"/>
      <c r="C9" s="153"/>
      <c r="D9" s="156"/>
      <c r="E9" s="161"/>
      <c r="F9" s="162"/>
      <c r="G9" s="159"/>
      <c r="H9" s="160"/>
      <c r="I9" s="163"/>
      <c r="J9" s="163"/>
      <c r="K9" s="163"/>
      <c r="L9" s="163"/>
      <c r="M9" s="163"/>
      <c r="N9" s="163"/>
      <c r="O9" s="163"/>
      <c r="P9" s="163"/>
      <c r="Q9" s="159"/>
      <c r="R9" s="155"/>
    </row>
    <row r="10" spans="2:18" ht="15" customHeight="1">
      <c r="B10" s="152"/>
      <c r="C10" s="153"/>
      <c r="D10" s="156" t="s">
        <v>26</v>
      </c>
      <c r="E10" s="161"/>
      <c r="F10" s="162"/>
      <c r="H10" s="523" t="s">
        <v>27</v>
      </c>
      <c r="I10" s="626"/>
      <c r="J10" s="329"/>
      <c r="K10" s="329"/>
      <c r="L10" s="329"/>
      <c r="M10" s="329"/>
      <c r="N10" s="329"/>
      <c r="O10" s="329"/>
      <c r="P10" s="329"/>
      <c r="Q10" s="159"/>
      <c r="R10" s="155"/>
    </row>
    <row r="11" spans="2:18" ht="15" customHeight="1">
      <c r="B11" s="152"/>
      <c r="C11" s="153"/>
      <c r="D11" s="322"/>
      <c r="E11" s="161"/>
      <c r="F11" s="162"/>
      <c r="G11" s="153"/>
      <c r="H11" s="464" t="str">
        <f>IF((ISNUMBER(SEARCH("Select from drop-down list →",H10))), "", IF((ISNUMBER(SEARCH("No",H10))), "Complete Enrollment Lines 15-27 only.", "Complete Enrollment Line 31 only."))</f>
        <v/>
      </c>
      <c r="I11" s="330"/>
      <c r="J11" s="329"/>
      <c r="K11" s="330"/>
      <c r="L11" s="330"/>
      <c r="M11" s="330"/>
      <c r="N11" s="330"/>
      <c r="O11" s="330"/>
      <c r="P11" s="330"/>
      <c r="Q11" s="159"/>
      <c r="R11" s="155"/>
    </row>
    <row r="12" spans="2:18" ht="15" customHeight="1">
      <c r="B12" s="152"/>
      <c r="C12" s="153"/>
      <c r="D12" s="138"/>
      <c r="E12" s="138"/>
      <c r="F12" s="138"/>
      <c r="G12" s="138"/>
      <c r="H12" s="138"/>
      <c r="I12" s="138"/>
      <c r="J12" s="138"/>
      <c r="K12" s="138"/>
      <c r="L12" s="138"/>
      <c r="M12" s="138"/>
      <c r="N12" s="138"/>
      <c r="O12" s="138"/>
      <c r="P12" s="138"/>
      <c r="Q12" s="138"/>
      <c r="R12" s="155"/>
    </row>
    <row r="13" spans="2:18" ht="15" customHeight="1">
      <c r="B13" s="152"/>
      <c r="C13" s="164"/>
      <c r="D13" s="165" t="s">
        <v>28</v>
      </c>
      <c r="E13" s="165" t="s">
        <v>29</v>
      </c>
      <c r="F13" s="165" t="s">
        <v>30</v>
      </c>
      <c r="G13" s="165" t="s">
        <v>31</v>
      </c>
      <c r="H13" s="165" t="s">
        <v>32</v>
      </c>
      <c r="I13" s="166" t="s">
        <v>33</v>
      </c>
      <c r="J13" s="165"/>
      <c r="K13" s="506" t="s">
        <v>34</v>
      </c>
      <c r="L13" s="507"/>
      <c r="M13" s="507"/>
      <c r="N13" s="507"/>
      <c r="O13" s="507"/>
      <c r="P13" s="507"/>
      <c r="Q13" s="167"/>
      <c r="R13" s="155"/>
    </row>
    <row r="14" spans="2:18" ht="15" customHeight="1">
      <c r="B14" s="152"/>
      <c r="C14" s="168"/>
      <c r="D14" s="169"/>
      <c r="E14" s="165"/>
      <c r="F14" s="165"/>
      <c r="G14" s="165"/>
      <c r="H14" s="165"/>
      <c r="I14" s="166"/>
      <c r="J14" s="169"/>
      <c r="K14" s="169"/>
      <c r="L14" s="169"/>
      <c r="M14" s="169"/>
      <c r="N14" s="169"/>
      <c r="O14" s="169"/>
      <c r="P14" s="169"/>
      <c r="Q14" s="170"/>
      <c r="R14" s="155"/>
    </row>
    <row r="15" spans="2:18" ht="15" customHeight="1">
      <c r="B15" s="152"/>
      <c r="C15" s="168"/>
      <c r="D15" s="171" t="s">
        <v>35</v>
      </c>
      <c r="E15" s="172"/>
      <c r="F15" s="172"/>
      <c r="G15" s="172"/>
      <c r="H15" s="172"/>
      <c r="I15" s="172"/>
      <c r="J15" s="331"/>
      <c r="K15" s="508" t="s">
        <v>36</v>
      </c>
      <c r="L15" s="509"/>
      <c r="M15" s="509"/>
      <c r="N15" s="509"/>
      <c r="O15" s="509"/>
      <c r="P15" s="510"/>
      <c r="Q15" s="316"/>
      <c r="R15" s="155"/>
    </row>
    <row r="16" spans="2:18" ht="15" customHeight="1">
      <c r="B16" s="152"/>
      <c r="C16" s="168"/>
      <c r="D16" s="171" t="s">
        <v>37</v>
      </c>
      <c r="E16" s="172"/>
      <c r="F16" s="172"/>
      <c r="G16" s="172"/>
      <c r="H16" s="172"/>
      <c r="I16" s="172"/>
      <c r="J16" s="331"/>
      <c r="K16" s="511"/>
      <c r="L16" s="512"/>
      <c r="M16" s="512"/>
      <c r="N16" s="512"/>
      <c r="O16" s="512"/>
      <c r="P16" s="513"/>
      <c r="Q16" s="316"/>
      <c r="R16" s="155"/>
    </row>
    <row r="17" spans="2:23" ht="15" customHeight="1">
      <c r="B17" s="152"/>
      <c r="C17" s="168"/>
      <c r="D17" s="171" t="s">
        <v>38</v>
      </c>
      <c r="E17" s="172"/>
      <c r="F17" s="172"/>
      <c r="G17" s="172"/>
      <c r="H17" s="172"/>
      <c r="I17" s="172"/>
      <c r="J17" s="331"/>
      <c r="K17" s="511"/>
      <c r="L17" s="512"/>
      <c r="M17" s="512"/>
      <c r="N17" s="512"/>
      <c r="O17" s="512"/>
      <c r="P17" s="513"/>
      <c r="Q17" s="316"/>
      <c r="R17" s="155"/>
    </row>
    <row r="18" spans="2:23" ht="15" customHeight="1">
      <c r="B18" s="152"/>
      <c r="C18" s="168"/>
      <c r="D18" s="171" t="s">
        <v>39</v>
      </c>
      <c r="E18" s="172"/>
      <c r="F18" s="172"/>
      <c r="G18" s="172"/>
      <c r="H18" s="172"/>
      <c r="I18" s="172"/>
      <c r="J18" s="331"/>
      <c r="K18" s="511"/>
      <c r="L18" s="512"/>
      <c r="M18" s="512"/>
      <c r="N18" s="512"/>
      <c r="O18" s="512"/>
      <c r="P18" s="513"/>
      <c r="Q18" s="316"/>
      <c r="R18" s="155"/>
    </row>
    <row r="19" spans="2:23" ht="15" customHeight="1">
      <c r="B19" s="152"/>
      <c r="C19" s="168"/>
      <c r="D19" s="171" t="s">
        <v>40</v>
      </c>
      <c r="E19" s="172"/>
      <c r="F19" s="172"/>
      <c r="G19" s="172"/>
      <c r="H19" s="172"/>
      <c r="I19" s="172"/>
      <c r="J19" s="331"/>
      <c r="K19" s="511"/>
      <c r="L19" s="512"/>
      <c r="M19" s="512"/>
      <c r="N19" s="512"/>
      <c r="O19" s="512"/>
      <c r="P19" s="513"/>
      <c r="Q19" s="316"/>
      <c r="R19" s="155"/>
    </row>
    <row r="20" spans="2:23" ht="15" customHeight="1">
      <c r="B20" s="152"/>
      <c r="C20" s="168"/>
      <c r="D20" s="171" t="s">
        <v>41</v>
      </c>
      <c r="E20" s="172"/>
      <c r="F20" s="172"/>
      <c r="G20" s="172"/>
      <c r="H20" s="172"/>
      <c r="I20" s="172"/>
      <c r="J20" s="331"/>
      <c r="K20" s="511"/>
      <c r="L20" s="512"/>
      <c r="M20" s="512"/>
      <c r="N20" s="512"/>
      <c r="O20" s="512"/>
      <c r="P20" s="513"/>
      <c r="Q20" s="316"/>
      <c r="R20" s="155"/>
    </row>
    <row r="21" spans="2:23" ht="15" customHeight="1">
      <c r="B21" s="152"/>
      <c r="C21" s="168"/>
      <c r="D21" s="171" t="s">
        <v>42</v>
      </c>
      <c r="E21" s="172">
        <f>40*0.9</f>
        <v>36</v>
      </c>
      <c r="F21" s="172">
        <f>60*0.9</f>
        <v>54</v>
      </c>
      <c r="G21" s="172">
        <f>(400*0.2)*0.9</f>
        <v>72</v>
      </c>
      <c r="H21" s="172">
        <v>72</v>
      </c>
      <c r="I21" s="172">
        <v>72</v>
      </c>
      <c r="J21" s="331"/>
      <c r="K21" s="511"/>
      <c r="L21" s="512"/>
      <c r="M21" s="512"/>
      <c r="N21" s="512"/>
      <c r="O21" s="512"/>
      <c r="P21" s="513"/>
      <c r="Q21" s="316"/>
      <c r="R21" s="155"/>
    </row>
    <row r="22" spans="2:23" ht="15" customHeight="1">
      <c r="B22" s="152"/>
      <c r="C22" s="168"/>
      <c r="D22" s="171" t="s">
        <v>43</v>
      </c>
      <c r="E22" s="172"/>
      <c r="F22" s="172"/>
      <c r="G22" s="172"/>
      <c r="H22" s="172"/>
      <c r="I22" s="172"/>
      <c r="J22" s="331"/>
      <c r="K22" s="511"/>
      <c r="L22" s="512"/>
      <c r="M22" s="512"/>
      <c r="N22" s="512"/>
      <c r="O22" s="512"/>
      <c r="P22" s="513"/>
      <c r="Q22" s="316"/>
      <c r="R22" s="155"/>
    </row>
    <row r="23" spans="2:23" ht="15" customHeight="1">
      <c r="B23" s="152"/>
      <c r="C23" s="168"/>
      <c r="D23" s="171" t="s">
        <v>44</v>
      </c>
      <c r="E23" s="172"/>
      <c r="F23" s="172"/>
      <c r="G23" s="172"/>
      <c r="H23" s="172"/>
      <c r="I23" s="172"/>
      <c r="J23" s="331"/>
      <c r="K23" s="511"/>
      <c r="L23" s="512"/>
      <c r="M23" s="512"/>
      <c r="N23" s="512"/>
      <c r="O23" s="512"/>
      <c r="P23" s="513"/>
      <c r="Q23" s="316"/>
      <c r="R23" s="155"/>
    </row>
    <row r="24" spans="2:23" ht="15" customHeight="1">
      <c r="B24" s="152"/>
      <c r="C24" s="168"/>
      <c r="D24" s="171" t="s">
        <v>45</v>
      </c>
      <c r="E24" s="172">
        <v>50</v>
      </c>
      <c r="F24" s="172">
        <v>75</v>
      </c>
      <c r="G24" s="172">
        <v>100</v>
      </c>
      <c r="H24" s="172">
        <v>100</v>
      </c>
      <c r="I24" s="172">
        <v>100</v>
      </c>
      <c r="J24" s="331"/>
      <c r="K24" s="511"/>
      <c r="L24" s="512"/>
      <c r="M24" s="512"/>
      <c r="N24" s="512"/>
      <c r="O24" s="512"/>
      <c r="P24" s="513"/>
      <c r="Q24" s="316"/>
      <c r="R24" s="155"/>
    </row>
    <row r="25" spans="2:23" ht="15" customHeight="1">
      <c r="B25" s="152"/>
      <c r="C25" s="168"/>
      <c r="D25" s="171" t="s">
        <v>46</v>
      </c>
      <c r="E25" s="172">
        <v>50</v>
      </c>
      <c r="F25" s="172">
        <v>75</v>
      </c>
      <c r="G25" s="172">
        <v>100</v>
      </c>
      <c r="H25" s="172">
        <v>100</v>
      </c>
      <c r="I25" s="172">
        <v>100</v>
      </c>
      <c r="J25" s="331"/>
      <c r="K25" s="511"/>
      <c r="L25" s="512"/>
      <c r="M25" s="512"/>
      <c r="N25" s="512"/>
      <c r="O25" s="512"/>
      <c r="P25" s="513"/>
      <c r="Q25" s="316"/>
      <c r="R25" s="155"/>
    </row>
    <row r="26" spans="2:23" ht="15" customHeight="1">
      <c r="B26" s="152"/>
      <c r="C26" s="168"/>
      <c r="D26" s="171" t="s">
        <v>47</v>
      </c>
      <c r="E26" s="172">
        <v>30</v>
      </c>
      <c r="F26" s="172">
        <v>50</v>
      </c>
      <c r="G26" s="172">
        <v>75</v>
      </c>
      <c r="H26" s="172">
        <v>75</v>
      </c>
      <c r="I26" s="172">
        <v>75</v>
      </c>
      <c r="J26" s="331"/>
      <c r="K26" s="511"/>
      <c r="L26" s="512"/>
      <c r="M26" s="512"/>
      <c r="N26" s="512"/>
      <c r="O26" s="512"/>
      <c r="P26" s="513"/>
      <c r="Q26" s="316"/>
      <c r="R26" s="155"/>
    </row>
    <row r="27" spans="2:23" ht="15" customHeight="1">
      <c r="B27" s="152"/>
      <c r="C27" s="168"/>
      <c r="D27" s="171" t="s">
        <v>48</v>
      </c>
      <c r="E27" s="172">
        <v>30</v>
      </c>
      <c r="F27" s="172">
        <v>40</v>
      </c>
      <c r="G27" s="172">
        <v>50</v>
      </c>
      <c r="H27" s="172">
        <v>50</v>
      </c>
      <c r="I27" s="172">
        <v>50</v>
      </c>
      <c r="J27" s="331"/>
      <c r="K27" s="511"/>
      <c r="L27" s="512"/>
      <c r="M27" s="512"/>
      <c r="N27" s="512"/>
      <c r="O27" s="512"/>
      <c r="P27" s="513"/>
      <c r="Q27" s="316"/>
      <c r="R27" s="155"/>
    </row>
    <row r="28" spans="2:23" ht="15" customHeight="1">
      <c r="B28" s="152"/>
      <c r="C28" s="168"/>
      <c r="D28" s="314"/>
      <c r="E28" s="315"/>
      <c r="F28" s="315"/>
      <c r="G28" s="315"/>
      <c r="H28" s="315"/>
      <c r="I28" s="315"/>
      <c r="J28" s="327"/>
      <c r="K28" s="511"/>
      <c r="L28" s="512"/>
      <c r="M28" s="512"/>
      <c r="N28" s="512"/>
      <c r="O28" s="512"/>
      <c r="P28" s="513"/>
      <c r="Q28" s="316"/>
      <c r="R28" s="155"/>
      <c r="T28" s="325"/>
    </row>
    <row r="29" spans="2:23" ht="15" customHeight="1">
      <c r="B29" s="152"/>
      <c r="C29" s="168"/>
      <c r="D29" s="169" t="s">
        <v>49</v>
      </c>
      <c r="E29" s="339">
        <f>SUM(E15:E27)</f>
        <v>196</v>
      </c>
      <c r="F29" s="339">
        <f>SUM(F15:F27)</f>
        <v>294</v>
      </c>
      <c r="G29" s="339">
        <f>SUM(G15:G27)</f>
        <v>397</v>
      </c>
      <c r="H29" s="339">
        <f>SUM(H15:H27)</f>
        <v>397</v>
      </c>
      <c r="I29" s="339">
        <f>SUM(I15:I27)</f>
        <v>397</v>
      </c>
      <c r="J29" s="314"/>
      <c r="K29" s="511"/>
      <c r="L29" s="512"/>
      <c r="M29" s="512"/>
      <c r="N29" s="512"/>
      <c r="O29" s="512"/>
      <c r="P29" s="513"/>
      <c r="Q29" s="316"/>
      <c r="R29" s="155"/>
    </row>
    <row r="30" spans="2:23" ht="15" customHeight="1">
      <c r="B30" s="152"/>
      <c r="C30" s="168"/>
      <c r="D30" s="314"/>
      <c r="E30" s="327"/>
      <c r="F30" s="327"/>
      <c r="G30" s="327"/>
      <c r="H30" s="327"/>
      <c r="I30" s="327"/>
      <c r="J30" s="327"/>
      <c r="K30" s="511"/>
      <c r="L30" s="512"/>
      <c r="M30" s="512"/>
      <c r="N30" s="512"/>
      <c r="O30" s="512"/>
      <c r="P30" s="513"/>
      <c r="Q30" s="316"/>
      <c r="R30" s="155"/>
    </row>
    <row r="31" spans="2:23" ht="15" customHeight="1">
      <c r="B31" s="152"/>
      <c r="C31" s="168"/>
      <c r="D31" s="171" t="s">
        <v>50</v>
      </c>
      <c r="E31" s="313"/>
      <c r="F31" s="313"/>
      <c r="G31" s="313"/>
      <c r="H31" s="313"/>
      <c r="I31" s="313"/>
      <c r="J31" s="331"/>
      <c r="K31" s="511"/>
      <c r="L31" s="512"/>
      <c r="M31" s="512"/>
      <c r="N31" s="512"/>
      <c r="O31" s="512"/>
      <c r="P31" s="513"/>
      <c r="Q31" s="175"/>
      <c r="R31" s="155"/>
      <c r="W31" s="179"/>
    </row>
    <row r="32" spans="2:23" ht="15" customHeight="1">
      <c r="B32" s="152"/>
      <c r="C32" s="168"/>
      <c r="D32" s="314"/>
      <c r="E32" s="315"/>
      <c r="F32" s="315"/>
      <c r="G32" s="315"/>
      <c r="H32" s="315"/>
      <c r="I32" s="315"/>
      <c r="J32" s="327"/>
      <c r="K32" s="511"/>
      <c r="L32" s="512"/>
      <c r="M32" s="512"/>
      <c r="N32" s="512"/>
      <c r="O32" s="512"/>
      <c r="P32" s="513"/>
      <c r="Q32" s="175"/>
      <c r="R32" s="155"/>
    </row>
    <row r="33" spans="2:25" ht="15" customHeight="1">
      <c r="B33" s="152"/>
      <c r="C33" s="168"/>
      <c r="D33" s="169" t="s">
        <v>51</v>
      </c>
      <c r="E33" s="338">
        <f>E31</f>
        <v>0</v>
      </c>
      <c r="F33" s="338">
        <f>F31</f>
        <v>0</v>
      </c>
      <c r="G33" s="338">
        <f>G31</f>
        <v>0</v>
      </c>
      <c r="H33" s="338">
        <f>H31</f>
        <v>0</v>
      </c>
      <c r="I33" s="338">
        <f>I31</f>
        <v>0</v>
      </c>
      <c r="J33" s="174"/>
      <c r="K33" s="511"/>
      <c r="L33" s="512"/>
      <c r="M33" s="512"/>
      <c r="N33" s="512"/>
      <c r="O33" s="512"/>
      <c r="P33" s="513"/>
      <c r="Q33" s="175"/>
      <c r="R33" s="155"/>
    </row>
    <row r="34" spans="2:25" ht="15" customHeight="1">
      <c r="B34" s="152"/>
      <c r="C34" s="168"/>
      <c r="D34" s="173"/>
      <c r="E34" s="174"/>
      <c r="F34" s="174"/>
      <c r="G34" s="174"/>
      <c r="H34" s="174"/>
      <c r="I34" s="174"/>
      <c r="J34" s="174"/>
      <c r="K34" s="511"/>
      <c r="L34" s="512"/>
      <c r="M34" s="512"/>
      <c r="N34" s="512"/>
      <c r="O34" s="512"/>
      <c r="P34" s="513"/>
      <c r="Q34" s="175"/>
      <c r="R34" s="155"/>
      <c r="U34" s="179"/>
    </row>
    <row r="35" spans="2:25" ht="15" customHeight="1">
      <c r="B35" s="152"/>
      <c r="C35" s="168"/>
      <c r="D35" s="317" t="s">
        <v>52</v>
      </c>
      <c r="E35" s="174"/>
      <c r="F35" s="174"/>
      <c r="G35" s="174"/>
      <c r="H35" s="174"/>
      <c r="I35" s="320"/>
      <c r="J35" s="174"/>
      <c r="K35" s="511"/>
      <c r="L35" s="512"/>
      <c r="M35" s="512"/>
      <c r="N35" s="512"/>
      <c r="O35" s="512"/>
      <c r="P35" s="513"/>
      <c r="Q35" s="175"/>
      <c r="R35" s="155"/>
      <c r="X35" s="176"/>
      <c r="Y35" s="176"/>
    </row>
    <row r="36" spans="2:25" ht="15" customHeight="1">
      <c r="B36" s="152"/>
      <c r="C36" s="168"/>
      <c r="D36" s="318" t="s">
        <v>53</v>
      </c>
      <c r="E36" s="323">
        <v>0.1</v>
      </c>
      <c r="F36" s="323">
        <v>0.1</v>
      </c>
      <c r="G36" s="323">
        <v>0.1</v>
      </c>
      <c r="H36" s="323">
        <v>0.1</v>
      </c>
      <c r="I36" s="323">
        <v>0.1</v>
      </c>
      <c r="J36" s="332"/>
      <c r="K36" s="511"/>
      <c r="L36" s="512"/>
      <c r="M36" s="512"/>
      <c r="N36" s="512"/>
      <c r="O36" s="512"/>
      <c r="P36" s="513"/>
      <c r="Q36" s="175"/>
      <c r="R36" s="155"/>
      <c r="X36" s="177"/>
      <c r="Y36" s="177"/>
    </row>
    <row r="37" spans="2:25" ht="15" customHeight="1">
      <c r="B37" s="152"/>
      <c r="C37" s="168"/>
      <c r="D37" s="318" t="s">
        <v>54</v>
      </c>
      <c r="E37" s="323">
        <v>0</v>
      </c>
      <c r="F37" s="323">
        <v>0</v>
      </c>
      <c r="G37" s="323">
        <v>0</v>
      </c>
      <c r="H37" s="323">
        <v>0</v>
      </c>
      <c r="I37" s="323">
        <v>0</v>
      </c>
      <c r="J37" s="332"/>
      <c r="K37" s="511"/>
      <c r="L37" s="512"/>
      <c r="M37" s="512"/>
      <c r="N37" s="512"/>
      <c r="O37" s="512"/>
      <c r="P37" s="513"/>
      <c r="Q37" s="175"/>
      <c r="R37" s="155"/>
      <c r="U37" s="324"/>
      <c r="X37" s="176"/>
      <c r="Y37" s="176"/>
    </row>
    <row r="38" spans="2:25" ht="15" customHeight="1">
      <c r="B38" s="152"/>
      <c r="C38" s="168"/>
      <c r="D38" s="319" t="s">
        <v>55</v>
      </c>
      <c r="E38" s="323">
        <v>1</v>
      </c>
      <c r="F38" s="323">
        <v>1</v>
      </c>
      <c r="G38" s="323">
        <v>1</v>
      </c>
      <c r="H38" s="323">
        <v>1</v>
      </c>
      <c r="I38" s="323">
        <v>1</v>
      </c>
      <c r="J38" s="332"/>
      <c r="K38" s="511"/>
      <c r="L38" s="512"/>
      <c r="M38" s="512"/>
      <c r="N38" s="512"/>
      <c r="O38" s="512"/>
      <c r="P38" s="513"/>
      <c r="Q38" s="175"/>
      <c r="R38" s="155"/>
      <c r="X38" s="177"/>
      <c r="Y38" s="177"/>
    </row>
    <row r="39" spans="2:25" ht="15" customHeight="1">
      <c r="B39" s="152"/>
      <c r="C39" s="168"/>
      <c r="D39" s="318" t="s">
        <v>56</v>
      </c>
      <c r="E39" s="323">
        <v>0</v>
      </c>
      <c r="F39" s="323">
        <v>0</v>
      </c>
      <c r="G39" s="323">
        <v>0</v>
      </c>
      <c r="H39" s="323">
        <v>0</v>
      </c>
      <c r="I39" s="323">
        <v>0</v>
      </c>
      <c r="J39" s="332"/>
      <c r="K39" s="511"/>
      <c r="L39" s="512"/>
      <c r="M39" s="512"/>
      <c r="N39" s="512"/>
      <c r="O39" s="512"/>
      <c r="P39" s="513"/>
      <c r="Q39" s="175"/>
      <c r="R39" s="155"/>
      <c r="Y39" s="177"/>
    </row>
    <row r="40" spans="2:25" ht="15" customHeight="1">
      <c r="B40" s="152"/>
      <c r="C40" s="168"/>
      <c r="D40" s="318"/>
      <c r="E40" s="174"/>
      <c r="F40" s="174"/>
      <c r="G40" s="174"/>
      <c r="H40" s="174"/>
      <c r="I40" s="174"/>
      <c r="J40" s="174"/>
      <c r="K40" s="511"/>
      <c r="L40" s="512"/>
      <c r="M40" s="512"/>
      <c r="N40" s="512"/>
      <c r="O40" s="512"/>
      <c r="P40" s="513"/>
      <c r="Q40" s="175"/>
      <c r="R40" s="155"/>
      <c r="V40" s="179"/>
      <c r="Y40" s="177"/>
    </row>
    <row r="41" spans="2:25" ht="15" customHeight="1">
      <c r="B41" s="152"/>
      <c r="C41" s="168"/>
      <c r="D41" s="173" t="s">
        <v>57</v>
      </c>
      <c r="E41" s="178">
        <f>(((E29*E39)*(CONTROL!$K$18*0.85))+((E29*(1-E39))*CONTROL!$K$18))+(E29*((IFERROR(VLOOKUP('1. Instructions'!$E$8,CONTROL!$C$18:$G$306,4,FALSE),0))*CONTROL!$K$19))</f>
        <v>1493529.31</v>
      </c>
      <c r="F41" s="178">
        <f>(((F29*F39)*(CONTROL!$K$18*0.85))+((F29*(1-F39))*CONTROL!$K$18))+(F29*((IFERROR(VLOOKUP('1. Instructions'!$E$8,CONTROL!$C$18:$G$306,4,FALSE),0))*CONTROL!$K$19))</f>
        <v>2240293.9649999999</v>
      </c>
      <c r="G41" s="178">
        <f>(((G29*G39)*(CONTROL!$K$18*0.85))+((G29*(1-G39))*CONTROL!$K$18))+(G29*((IFERROR(VLOOKUP('1. Instructions'!$E$8,CONTROL!$C$18:$G$306,4,FALSE),0))*CONTROL!$K$19))</f>
        <v>3025158.8574999999</v>
      </c>
      <c r="H41" s="178">
        <f>(((H29*H39)*(CONTROL!$K$18*0.85))+((H29*(1-H39))*CONTROL!$K$18))+(H29*((IFERROR(VLOOKUP('1. Instructions'!$E$8,CONTROL!$C$18:$G$306,4,FALSE),0))*CONTROL!$K$19))</f>
        <v>3025158.8574999999</v>
      </c>
      <c r="I41" s="178">
        <f>(((I29*I39)*(CONTROL!$K$18*0.85))+((I29*(1-I39))*CONTROL!$K$18))+(I29*((IFERROR(VLOOKUP('1. Instructions'!$E$8,CONTROL!$C$18:$G$306,4,FALSE),0))*CONTROL!$K$19))</f>
        <v>3025158.8574999999</v>
      </c>
      <c r="J41" s="333"/>
      <c r="K41" s="511"/>
      <c r="L41" s="512"/>
      <c r="M41" s="512"/>
      <c r="N41" s="512"/>
      <c r="O41" s="512"/>
      <c r="P41" s="513"/>
      <c r="Q41" s="175"/>
      <c r="R41" s="155"/>
      <c r="X41" s="177"/>
      <c r="Y41" s="177"/>
    </row>
    <row r="42" spans="2:25" ht="15" customHeight="1">
      <c r="B42" s="152"/>
      <c r="C42" s="168"/>
      <c r="E42" s="153"/>
      <c r="F42" s="153"/>
      <c r="G42" s="153"/>
      <c r="H42" s="153"/>
      <c r="I42" s="153"/>
      <c r="J42" s="333"/>
      <c r="K42" s="511"/>
      <c r="L42" s="512"/>
      <c r="M42" s="512"/>
      <c r="N42" s="512"/>
      <c r="O42" s="512"/>
      <c r="P42" s="513"/>
      <c r="Q42" s="175"/>
      <c r="R42" s="155"/>
      <c r="X42" s="177"/>
      <c r="Y42" s="177"/>
    </row>
    <row r="43" spans="2:25" ht="15" customHeight="1">
      <c r="B43" s="152"/>
      <c r="C43" s="168"/>
      <c r="D43" s="173" t="s">
        <v>58</v>
      </c>
      <c r="E43" s="178">
        <f>CONTROL!$K$22*E33</f>
        <v>0</v>
      </c>
      <c r="F43" s="178">
        <f>CONTROL!$K$22*F33</f>
        <v>0</v>
      </c>
      <c r="G43" s="178">
        <f>CONTROL!$K$22*G33</f>
        <v>0</v>
      </c>
      <c r="H43" s="178">
        <f>CONTROL!$K$22*H33</f>
        <v>0</v>
      </c>
      <c r="I43" s="178">
        <f>CONTROL!$K$22*I33</f>
        <v>0</v>
      </c>
      <c r="J43" s="334"/>
      <c r="K43" s="511"/>
      <c r="L43" s="512"/>
      <c r="M43" s="512"/>
      <c r="N43" s="512"/>
      <c r="O43" s="512"/>
      <c r="P43" s="513"/>
      <c r="Q43" s="175"/>
      <c r="R43" s="155"/>
      <c r="X43" s="177"/>
      <c r="Y43" s="177"/>
    </row>
    <row r="44" spans="2:25" ht="15" customHeight="1">
      <c r="B44" s="152"/>
      <c r="C44" s="168"/>
      <c r="D44" s="173"/>
      <c r="E44" s="174"/>
      <c r="F44" s="174"/>
      <c r="G44" s="174"/>
      <c r="H44" s="174"/>
      <c r="I44" s="174"/>
      <c r="J44" s="174"/>
      <c r="K44" s="511"/>
      <c r="L44" s="512"/>
      <c r="M44" s="512"/>
      <c r="N44" s="512"/>
      <c r="O44" s="512"/>
      <c r="P44" s="513"/>
      <c r="Q44" s="175"/>
      <c r="R44" s="155"/>
      <c r="X44" s="177"/>
      <c r="Y44" s="177"/>
    </row>
    <row r="45" spans="2:25" ht="15" customHeight="1">
      <c r="B45" s="152"/>
      <c r="C45" s="168"/>
      <c r="D45" s="336"/>
      <c r="E45" s="463" t="str">
        <f>IF(AND((SUM(E41:I41)&gt;0),(SUM(E43:I43)&gt;0)),"ERROR: Please complete EITHER Rows 15-27 OR Row 31, not both.","")</f>
        <v/>
      </c>
      <c r="F45" s="120"/>
      <c r="G45" s="120"/>
      <c r="H45" s="120"/>
      <c r="I45" s="120"/>
      <c r="J45" s="335"/>
      <c r="K45" s="511"/>
      <c r="L45" s="512"/>
      <c r="M45" s="512"/>
      <c r="N45" s="512"/>
      <c r="O45" s="512"/>
      <c r="P45" s="513"/>
      <c r="Q45" s="175"/>
      <c r="R45" s="155"/>
      <c r="X45" s="177"/>
      <c r="Y45" s="177"/>
    </row>
    <row r="46" spans="2:25" ht="15" customHeight="1">
      <c r="B46" s="152"/>
      <c r="C46" s="168"/>
      <c r="D46" s="153"/>
      <c r="E46" s="153"/>
      <c r="F46" s="153"/>
      <c r="G46" s="153"/>
      <c r="H46" s="153"/>
      <c r="I46" s="153"/>
      <c r="J46" s="335"/>
      <c r="K46" s="511"/>
      <c r="L46" s="512"/>
      <c r="M46" s="512"/>
      <c r="N46" s="512"/>
      <c r="O46" s="512"/>
      <c r="P46" s="513"/>
      <c r="Q46" s="175"/>
      <c r="R46" s="155"/>
      <c r="X46" s="177"/>
      <c r="Y46" s="177"/>
    </row>
    <row r="47" spans="2:25" ht="15" customHeight="1">
      <c r="B47" s="152"/>
      <c r="C47" s="168"/>
      <c r="D47" s="153"/>
      <c r="E47" s="153"/>
      <c r="F47" s="153"/>
      <c r="G47" s="153"/>
      <c r="H47" s="153"/>
      <c r="I47" s="153"/>
      <c r="J47" s="335"/>
      <c r="K47" s="511"/>
      <c r="L47" s="512"/>
      <c r="M47" s="512"/>
      <c r="N47" s="512"/>
      <c r="O47" s="512"/>
      <c r="P47" s="513"/>
      <c r="Q47" s="175"/>
      <c r="R47" s="155"/>
      <c r="X47" s="177"/>
      <c r="Y47" s="177"/>
    </row>
    <row r="48" spans="2:25" ht="15" customHeight="1">
      <c r="B48" s="152"/>
      <c r="C48" s="168"/>
      <c r="D48" s="153"/>
      <c r="E48" s="153"/>
      <c r="F48" s="153"/>
      <c r="G48" s="153"/>
      <c r="H48" s="153"/>
      <c r="I48" s="153"/>
      <c r="J48" s="335"/>
      <c r="K48" s="511"/>
      <c r="L48" s="512"/>
      <c r="M48" s="512"/>
      <c r="N48" s="512"/>
      <c r="O48" s="512"/>
      <c r="P48" s="513"/>
      <c r="Q48" s="175"/>
      <c r="R48" s="155"/>
      <c r="X48" s="177"/>
      <c r="Y48" s="177"/>
    </row>
    <row r="49" spans="2:25" ht="15" customHeight="1">
      <c r="B49" s="152"/>
      <c r="C49" s="168"/>
      <c r="D49" s="153"/>
      <c r="E49" s="153"/>
      <c r="F49" s="153"/>
      <c r="G49" s="153"/>
      <c r="H49" s="153"/>
      <c r="I49" s="153"/>
      <c r="J49" s="335"/>
      <c r="K49" s="511"/>
      <c r="L49" s="512"/>
      <c r="M49" s="512"/>
      <c r="N49" s="512"/>
      <c r="O49" s="512"/>
      <c r="P49" s="513"/>
      <c r="Q49" s="175"/>
      <c r="R49" s="155"/>
      <c r="X49" s="177"/>
      <c r="Y49" s="177"/>
    </row>
    <row r="50" spans="2:25" ht="15" customHeight="1">
      <c r="B50" s="152"/>
      <c r="C50" s="168"/>
      <c r="D50" s="153"/>
      <c r="E50" s="153"/>
      <c r="F50" s="153"/>
      <c r="G50" s="153"/>
      <c r="H50" s="153"/>
      <c r="I50" s="153"/>
      <c r="J50" s="335"/>
      <c r="K50" s="511"/>
      <c r="L50" s="512"/>
      <c r="M50" s="512"/>
      <c r="N50" s="512"/>
      <c r="O50" s="512"/>
      <c r="P50" s="513"/>
      <c r="Q50" s="175"/>
      <c r="R50" s="155"/>
      <c r="X50" s="177"/>
      <c r="Y50" s="177"/>
    </row>
    <row r="51" spans="2:25" ht="15" customHeight="1">
      <c r="B51" s="152"/>
      <c r="C51" s="168"/>
      <c r="D51" s="153"/>
      <c r="E51" s="153"/>
      <c r="F51" s="153"/>
      <c r="G51" s="153"/>
      <c r="H51" s="153"/>
      <c r="I51" s="153"/>
      <c r="J51" s="335"/>
      <c r="K51" s="514"/>
      <c r="L51" s="515"/>
      <c r="M51" s="515"/>
      <c r="N51" s="515"/>
      <c r="O51" s="515"/>
      <c r="P51" s="516"/>
      <c r="Q51" s="175"/>
      <c r="R51" s="155"/>
      <c r="X51" s="177"/>
      <c r="Y51" s="177"/>
    </row>
    <row r="52" spans="2:25" ht="15.75" customHeight="1">
      <c r="B52" s="152"/>
      <c r="C52" s="168"/>
      <c r="D52" s="153"/>
      <c r="E52" s="153"/>
      <c r="F52" s="153"/>
      <c r="G52" s="153"/>
      <c r="H52" s="153"/>
      <c r="I52" s="153"/>
      <c r="J52" s="335"/>
      <c r="K52" s="127"/>
      <c r="L52" s="127"/>
      <c r="M52" s="127"/>
      <c r="N52" s="127"/>
      <c r="O52" s="127"/>
      <c r="P52" s="127"/>
      <c r="Q52" s="180"/>
      <c r="R52" s="155"/>
      <c r="X52" s="181"/>
      <c r="Y52" s="181"/>
    </row>
    <row r="53" spans="2:25" ht="15" customHeight="1" thickBot="1">
      <c r="B53" s="182"/>
      <c r="C53" s="337"/>
      <c r="D53" s="337"/>
      <c r="E53" s="337"/>
      <c r="F53" s="337"/>
      <c r="G53" s="337"/>
      <c r="H53" s="337"/>
      <c r="I53" s="337"/>
      <c r="J53" s="337"/>
      <c r="K53" s="183"/>
      <c r="L53" s="183"/>
      <c r="M53" s="183"/>
      <c r="N53" s="183"/>
      <c r="O53" s="183"/>
      <c r="P53" s="183"/>
      <c r="Q53" s="183"/>
      <c r="R53" s="184"/>
      <c r="X53" s="185"/>
      <c r="Y53" s="185"/>
    </row>
    <row r="54" spans="2:25">
      <c r="X54" s="186"/>
      <c r="Y54" s="186"/>
    </row>
  </sheetData>
  <sheetProtection password="BDDB" sheet="1" objects="1" scenarios="1" selectLockedCells="1"/>
  <customSheetViews>
    <customSheetView guid="{78108F25-E067-40AC-B09B-6FE5187CDB4B}" topLeftCell="A10">
      <selection activeCell="B21" sqref="B21:C21"/>
      <pageMargins left="0" right="0" top="0" bottom="0" header="0" footer="0"/>
      <pageSetup orientation="portrait"/>
    </customSheetView>
    <customSheetView guid="{4EB07C87-A9F4-403E-8C0F-324FFB87E1FF}">
      <selection activeCell="P5" sqref="P5:R9"/>
      <pageMargins left="0" right="0" top="0" bottom="0" header="0" footer="0"/>
      <pageSetup orientation="portrait"/>
    </customSheetView>
  </customSheetViews>
  <mergeCells count="6">
    <mergeCell ref="K13:P13"/>
    <mergeCell ref="K15:P51"/>
    <mergeCell ref="D3:I3"/>
    <mergeCell ref="D4:I4"/>
    <mergeCell ref="D5:I5"/>
    <mergeCell ref="H10:I10"/>
  </mergeCells>
  <conditionalFormatting sqref="J43">
    <cfRule type="expression" dxfId="68" priority="1" stopIfTrue="1">
      <formula>J43&lt;&gt;""</formula>
    </cfRule>
  </conditionalFormatting>
  <dataValidations disablePrompts="1"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B1:AI81"/>
  <sheetViews>
    <sheetView topLeftCell="A13" zoomScale="49" workbookViewId="0">
      <selection activeCell="S51" sqref="S51"/>
    </sheetView>
  </sheetViews>
  <sheetFormatPr defaultColWidth="15.7109375" defaultRowHeight="15"/>
  <cols>
    <col min="1" max="3" width="3" style="187" customWidth="1"/>
    <col min="4" max="4" width="33.140625" style="187" customWidth="1"/>
    <col min="5" max="5" width="3" style="187" customWidth="1"/>
    <col min="6" max="6" width="10.7109375" style="187" customWidth="1"/>
    <col min="7" max="7" width="14.28515625" style="187" customWidth="1"/>
    <col min="8" max="8" width="17.7109375" style="187" customWidth="1"/>
    <col min="9" max="9" width="3" style="187" customWidth="1"/>
    <col min="10" max="10" width="10.7109375" style="187" customWidth="1"/>
    <col min="11" max="11" width="14.28515625" style="187" customWidth="1"/>
    <col min="12" max="12" width="17.7109375" style="187" customWidth="1"/>
    <col min="13" max="13" width="3" style="187" customWidth="1"/>
    <col min="14" max="14" width="10.7109375" style="187" customWidth="1"/>
    <col min="15" max="15" width="14.28515625" style="187" customWidth="1"/>
    <col min="16" max="16" width="17.7109375" style="187" customWidth="1"/>
    <col min="17" max="17" width="3" style="187" customWidth="1"/>
    <col min="18" max="18" width="10.7109375" style="187" customWidth="1"/>
    <col min="19" max="19" width="14.28515625" style="187" customWidth="1"/>
    <col min="20" max="20" width="17.7109375" style="187" customWidth="1"/>
    <col min="21" max="21" width="3" style="187" customWidth="1"/>
    <col min="22" max="22" width="10.7109375" style="187" customWidth="1"/>
    <col min="23" max="23" width="14.28515625" style="187" customWidth="1"/>
    <col min="24" max="24" width="17.7109375" style="187" customWidth="1"/>
    <col min="25" max="25" width="3" style="187" customWidth="1"/>
    <col min="26" max="26" width="10.7109375" style="187" customWidth="1"/>
    <col min="27" max="27" width="14.28515625" style="187" customWidth="1"/>
    <col min="28" max="28" width="17.7109375" style="187" customWidth="1"/>
    <col min="29" max="30" width="3" style="187" customWidth="1"/>
    <col min="31" max="48" width="15.7109375" style="187" customWidth="1"/>
    <col min="49" max="16384" width="15.7109375" style="187"/>
  </cols>
  <sheetData>
    <row r="1" spans="2:35" ht="15" customHeight="1" thickBot="1"/>
    <row r="2" spans="2:35" ht="15" customHeight="1">
      <c r="B2" s="188"/>
      <c r="C2" s="524" t="s">
        <v>59</v>
      </c>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189"/>
    </row>
    <row r="3" spans="2:35" ht="15" customHeight="1">
      <c r="B3" s="190"/>
      <c r="C3" s="191"/>
      <c r="D3" s="192" t="s">
        <v>22</v>
      </c>
      <c r="E3" s="192"/>
      <c r="F3" s="193" t="str">
        <f>IF(ISBLANK('1. Instructions'!E6),"Please enter School Name on Tab 1.",'1. Instructions'!E6)</f>
        <v>GEO Acadmies - South Bend/Elkhart</v>
      </c>
      <c r="G3" s="194"/>
      <c r="H3" s="194"/>
      <c r="I3" s="194"/>
      <c r="J3" s="194"/>
      <c r="K3" s="194"/>
      <c r="L3" s="194"/>
      <c r="M3" s="194"/>
      <c r="N3" s="194"/>
      <c r="O3" s="194"/>
      <c r="P3" s="194"/>
      <c r="Q3" s="194"/>
      <c r="R3" s="194"/>
      <c r="S3" s="194"/>
      <c r="T3" s="194"/>
      <c r="U3" s="194"/>
      <c r="V3" s="194"/>
      <c r="W3" s="194"/>
      <c r="X3" s="194"/>
      <c r="Y3" s="194"/>
      <c r="Z3" s="191"/>
      <c r="AA3" s="191"/>
      <c r="AB3" s="191"/>
      <c r="AC3" s="191"/>
      <c r="AD3" s="195"/>
    </row>
    <row r="4" spans="2:35" ht="15" customHeight="1">
      <c r="B4" s="190"/>
      <c r="C4" s="191"/>
      <c r="D4" s="192" t="s">
        <v>23</v>
      </c>
      <c r="E4" s="192"/>
      <c r="F4" s="193">
        <f>IF(ISBLANK('1. Instructions'!E7),"Please enter School's Opening Year on Tab 1.",'1. Instructions'!E7)</f>
        <v>2023</v>
      </c>
      <c r="G4" s="194"/>
      <c r="H4" s="194"/>
      <c r="I4" s="194"/>
      <c r="J4" s="194"/>
      <c r="K4" s="194"/>
      <c r="L4" s="194"/>
      <c r="M4" s="194"/>
      <c r="N4" s="194"/>
      <c r="O4" s="194"/>
      <c r="P4" s="194"/>
      <c r="Q4" s="194"/>
      <c r="R4" s="194"/>
      <c r="S4" s="194"/>
      <c r="T4" s="194"/>
      <c r="U4" s="194"/>
      <c r="V4" s="194"/>
      <c r="W4" s="194"/>
      <c r="X4" s="194"/>
      <c r="Y4" s="194"/>
      <c r="Z4" s="191"/>
      <c r="AA4" s="191"/>
      <c r="AB4" s="191"/>
      <c r="AC4" s="191"/>
      <c r="AD4" s="195"/>
    </row>
    <row r="5" spans="2:35" s="196" customFormat="1" ht="13.5" customHeight="1">
      <c r="B5" s="197"/>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8"/>
    </row>
    <row r="6" spans="2:35" ht="24.95" customHeight="1">
      <c r="B6" s="190"/>
      <c r="C6" s="191"/>
      <c r="D6" s="538" t="s">
        <v>60</v>
      </c>
      <c r="E6" s="539"/>
      <c r="F6" s="539"/>
      <c r="G6" s="539"/>
      <c r="H6" s="539"/>
      <c r="I6" s="539"/>
      <c r="J6" s="539"/>
      <c r="K6" s="539"/>
      <c r="L6" s="539"/>
      <c r="M6" s="539"/>
      <c r="N6" s="539"/>
      <c r="O6" s="539"/>
      <c r="P6" s="540"/>
      <c r="Q6" s="191"/>
      <c r="R6" s="191"/>
      <c r="S6" s="191"/>
      <c r="T6" s="191"/>
      <c r="U6" s="191"/>
      <c r="V6" s="191"/>
      <c r="W6" s="191"/>
      <c r="X6" s="191"/>
      <c r="Y6" s="191"/>
      <c r="Z6" s="191"/>
      <c r="AA6" s="191"/>
      <c r="AB6" s="191"/>
      <c r="AC6" s="191"/>
      <c r="AD6" s="195"/>
    </row>
    <row r="7" spans="2:35" ht="24.95" customHeight="1">
      <c r="B7" s="190"/>
      <c r="C7" s="191"/>
      <c r="D7" s="627"/>
      <c r="E7" s="628"/>
      <c r="F7" s="628"/>
      <c r="G7" s="628"/>
      <c r="H7" s="628"/>
      <c r="I7" s="628"/>
      <c r="J7" s="628"/>
      <c r="K7" s="628"/>
      <c r="L7" s="628"/>
      <c r="M7" s="628"/>
      <c r="N7" s="628"/>
      <c r="O7" s="628"/>
      <c r="P7" s="629"/>
      <c r="Q7" s="191"/>
      <c r="R7" s="191"/>
      <c r="S7" s="191"/>
      <c r="T7" s="536"/>
      <c r="U7" s="537"/>
      <c r="V7" s="537"/>
      <c r="W7" s="537"/>
      <c r="X7" s="537"/>
      <c r="Y7" s="537"/>
      <c r="Z7" s="537"/>
      <c r="AA7" s="537"/>
      <c r="AB7" s="537"/>
      <c r="AC7" s="537"/>
      <c r="AD7" s="537"/>
      <c r="AE7" s="537"/>
      <c r="AF7" s="537"/>
    </row>
    <row r="8" spans="2:35" ht="15" customHeight="1">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5"/>
    </row>
    <row r="9" spans="2:35" ht="15" customHeight="1">
      <c r="B9" s="190"/>
      <c r="C9" s="199"/>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1"/>
      <c r="AD9" s="195"/>
    </row>
    <row r="10" spans="2:35" ht="15" customHeight="1">
      <c r="B10" s="190"/>
      <c r="C10" s="203"/>
      <c r="D10" s="204"/>
      <c r="E10" s="204"/>
      <c r="F10" s="532" t="s">
        <v>61</v>
      </c>
      <c r="G10" s="533"/>
      <c r="H10" s="534"/>
      <c r="I10" s="16"/>
      <c r="J10" s="532" t="s">
        <v>29</v>
      </c>
      <c r="K10" s="533"/>
      <c r="L10" s="534"/>
      <c r="M10" s="16"/>
      <c r="N10" s="532" t="s">
        <v>30</v>
      </c>
      <c r="O10" s="533"/>
      <c r="P10" s="534"/>
      <c r="Q10" s="16"/>
      <c r="R10" s="532" t="s">
        <v>31</v>
      </c>
      <c r="S10" s="533"/>
      <c r="T10" s="534"/>
      <c r="U10" s="16"/>
      <c r="V10" s="532" t="s">
        <v>32</v>
      </c>
      <c r="W10" s="533"/>
      <c r="X10" s="534"/>
      <c r="Y10" s="16"/>
      <c r="Z10" s="526" t="s">
        <v>33</v>
      </c>
      <c r="AA10" s="527"/>
      <c r="AB10" s="528"/>
      <c r="AC10" s="205"/>
      <c r="AD10" s="206"/>
      <c r="AE10" s="207"/>
      <c r="AF10" s="207"/>
      <c r="AG10" s="207"/>
      <c r="AH10" s="207"/>
      <c r="AI10" s="207"/>
    </row>
    <row r="11" spans="2:35" ht="30" customHeight="1">
      <c r="B11" s="190"/>
      <c r="C11" s="203"/>
      <c r="D11" s="204"/>
      <c r="E11" s="204"/>
      <c r="F11" s="208" t="s">
        <v>62</v>
      </c>
      <c r="G11" s="209" t="s">
        <v>63</v>
      </c>
      <c r="H11" s="210" t="s">
        <v>64</v>
      </c>
      <c r="I11" s="211"/>
      <c r="J11" s="208" t="s">
        <v>62</v>
      </c>
      <c r="K11" s="208" t="s">
        <v>65</v>
      </c>
      <c r="L11" s="208" t="s">
        <v>64</v>
      </c>
      <c r="M11" s="211"/>
      <c r="N11" s="208" t="s">
        <v>62</v>
      </c>
      <c r="O11" s="208" t="s">
        <v>65</v>
      </c>
      <c r="P11" s="208" t="s">
        <v>64</v>
      </c>
      <c r="Q11" s="211"/>
      <c r="R11" s="208" t="s">
        <v>62</v>
      </c>
      <c r="S11" s="208" t="s">
        <v>65</v>
      </c>
      <c r="T11" s="208" t="s">
        <v>64</v>
      </c>
      <c r="U11" s="211"/>
      <c r="V11" s="208" t="s">
        <v>62</v>
      </c>
      <c r="W11" s="208" t="s">
        <v>65</v>
      </c>
      <c r="X11" s="208" t="s">
        <v>64</v>
      </c>
      <c r="Y11" s="211"/>
      <c r="Z11" s="210" t="s">
        <v>62</v>
      </c>
      <c r="AA11" s="210" t="s">
        <v>65</v>
      </c>
      <c r="AB11" s="210" t="s">
        <v>64</v>
      </c>
      <c r="AC11" s="205"/>
      <c r="AD11" s="206"/>
      <c r="AE11" s="207"/>
      <c r="AF11" s="207"/>
      <c r="AG11" s="207"/>
      <c r="AH11" s="207"/>
      <c r="AI11" s="207"/>
    </row>
    <row r="12" spans="2:35" ht="15" customHeight="1">
      <c r="B12" s="190"/>
      <c r="C12" s="203"/>
      <c r="D12" s="212" t="s">
        <v>66</v>
      </c>
      <c r="E12" s="213"/>
      <c r="F12" s="214"/>
      <c r="G12" s="215"/>
      <c r="H12" s="216"/>
      <c r="I12" s="217"/>
      <c r="J12" s="218"/>
      <c r="K12" s="219"/>
      <c r="L12" s="220"/>
      <c r="M12" s="221"/>
      <c r="N12" s="218"/>
      <c r="O12" s="219"/>
      <c r="P12" s="220"/>
      <c r="Q12" s="221"/>
      <c r="R12" s="218"/>
      <c r="S12" s="219"/>
      <c r="T12" s="220"/>
      <c r="U12" s="221"/>
      <c r="V12" s="218"/>
      <c r="W12" s="219"/>
      <c r="X12" s="220"/>
      <c r="Y12" s="221"/>
      <c r="Z12" s="218"/>
      <c r="AA12" s="219"/>
      <c r="AB12" s="220"/>
      <c r="AC12" s="202"/>
      <c r="AD12" s="195"/>
    </row>
    <row r="13" spans="2:35" ht="15" customHeight="1">
      <c r="B13" s="190"/>
      <c r="C13" s="203"/>
      <c r="D13" s="222" t="s">
        <v>67</v>
      </c>
      <c r="E13" s="191"/>
      <c r="F13" s="223"/>
      <c r="G13" s="224">
        <v>0</v>
      </c>
      <c r="H13" s="225">
        <f>F13*G13</f>
        <v>0</v>
      </c>
      <c r="I13" s="226"/>
      <c r="J13" s="223"/>
      <c r="K13" s="224">
        <v>0</v>
      </c>
      <c r="L13" s="225">
        <f>J13*K13</f>
        <v>0</v>
      </c>
      <c r="M13" s="226"/>
      <c r="N13" s="223"/>
      <c r="O13" s="224">
        <v>0</v>
      </c>
      <c r="P13" s="225">
        <f>N13*O13</f>
        <v>0</v>
      </c>
      <c r="Q13" s="226"/>
      <c r="R13" s="223"/>
      <c r="S13" s="224">
        <v>0</v>
      </c>
      <c r="T13" s="225">
        <f>R13*S13</f>
        <v>0</v>
      </c>
      <c r="U13" s="226"/>
      <c r="V13" s="223"/>
      <c r="W13" s="224">
        <v>0</v>
      </c>
      <c r="X13" s="225">
        <f>V13*W13</f>
        <v>0</v>
      </c>
      <c r="Y13" s="226"/>
      <c r="Z13" s="223"/>
      <c r="AA13" s="224">
        <v>0</v>
      </c>
      <c r="AB13" s="225">
        <f>Z13*AA13</f>
        <v>0</v>
      </c>
      <c r="AC13" s="227"/>
      <c r="AD13" s="198"/>
      <c r="AE13" s="196"/>
      <c r="AF13" s="196"/>
      <c r="AG13" s="196"/>
      <c r="AH13" s="196"/>
      <c r="AI13" s="196"/>
    </row>
    <row r="14" spans="2:35" ht="15" customHeight="1">
      <c r="B14" s="190"/>
      <c r="C14" s="203"/>
      <c r="D14" s="228" t="s">
        <v>68</v>
      </c>
      <c r="E14" s="191"/>
      <c r="F14" s="223"/>
      <c r="G14" s="224">
        <v>0</v>
      </c>
      <c r="H14" s="225">
        <f t="shared" ref="H14:H27" si="0">F14*G14</f>
        <v>0</v>
      </c>
      <c r="I14" s="226"/>
      <c r="J14" s="223">
        <v>1.5</v>
      </c>
      <c r="K14" s="224">
        <v>50000</v>
      </c>
      <c r="L14" s="225">
        <f t="shared" ref="L14:L27" si="1">J14*K14</f>
        <v>75000</v>
      </c>
      <c r="M14" s="226"/>
      <c r="N14" s="223">
        <v>2</v>
      </c>
      <c r="O14" s="224">
        <f>K14*1.03</f>
        <v>51500</v>
      </c>
      <c r="P14" s="225">
        <f t="shared" ref="P14:P27" si="2">N14*O14</f>
        <v>103000</v>
      </c>
      <c r="Q14" s="226"/>
      <c r="R14" s="223">
        <v>2</v>
      </c>
      <c r="S14" s="224">
        <f>O14*1.03</f>
        <v>53045</v>
      </c>
      <c r="T14" s="225">
        <f t="shared" ref="T14:T27" si="3">R14*S14</f>
        <v>106090</v>
      </c>
      <c r="U14" s="226"/>
      <c r="V14" s="223">
        <v>2</v>
      </c>
      <c r="W14" s="224">
        <f>S14*1.03</f>
        <v>54636.35</v>
      </c>
      <c r="X14" s="225">
        <f t="shared" ref="X14:X27" si="4">V14*W14</f>
        <v>109272.7</v>
      </c>
      <c r="Y14" s="226"/>
      <c r="Z14" s="223">
        <v>2</v>
      </c>
      <c r="AA14" s="224">
        <f>W14*1.03</f>
        <v>56275.440499999997</v>
      </c>
      <c r="AB14" s="225">
        <f t="shared" ref="AB14:AB27" si="5">Z14*AA14</f>
        <v>112550.88099999999</v>
      </c>
      <c r="AC14" s="227"/>
      <c r="AD14" s="198"/>
      <c r="AE14" s="196"/>
      <c r="AF14" s="196"/>
      <c r="AG14" s="196"/>
      <c r="AH14" s="196"/>
      <c r="AI14" s="196"/>
    </row>
    <row r="15" spans="2:35" ht="15" customHeight="1">
      <c r="B15" s="190"/>
      <c r="C15" s="203"/>
      <c r="D15" s="228" t="s">
        <v>69</v>
      </c>
      <c r="E15" s="191"/>
      <c r="F15" s="223"/>
      <c r="G15" s="224">
        <v>0</v>
      </c>
      <c r="H15" s="225">
        <f t="shared" si="0"/>
        <v>0</v>
      </c>
      <c r="I15" s="226"/>
      <c r="J15" s="223">
        <v>1.5</v>
      </c>
      <c r="K15" s="224">
        <v>50000</v>
      </c>
      <c r="L15" s="225">
        <f t="shared" si="1"/>
        <v>75000</v>
      </c>
      <c r="M15" s="226"/>
      <c r="N15" s="223">
        <v>2</v>
      </c>
      <c r="O15" s="224">
        <f t="shared" ref="O15:O27" si="6">K15*1.03</f>
        <v>51500</v>
      </c>
      <c r="P15" s="225">
        <f t="shared" si="2"/>
        <v>103000</v>
      </c>
      <c r="Q15" s="226"/>
      <c r="R15" s="223">
        <v>2</v>
      </c>
      <c r="S15" s="224">
        <f t="shared" ref="S15:S27" si="7">O15*1.03</f>
        <v>53045</v>
      </c>
      <c r="T15" s="225">
        <f t="shared" si="3"/>
        <v>106090</v>
      </c>
      <c r="U15" s="226"/>
      <c r="V15" s="223">
        <v>2</v>
      </c>
      <c r="W15" s="224">
        <f t="shared" ref="W15:W27" si="8">S15*1.03</f>
        <v>54636.35</v>
      </c>
      <c r="X15" s="225">
        <f t="shared" si="4"/>
        <v>109272.7</v>
      </c>
      <c r="Y15" s="226"/>
      <c r="Z15" s="223">
        <v>2</v>
      </c>
      <c r="AA15" s="224">
        <f t="shared" ref="AA15:AA27" si="9">W15*1.03</f>
        <v>56275.440499999997</v>
      </c>
      <c r="AB15" s="225">
        <f t="shared" si="5"/>
        <v>112550.88099999999</v>
      </c>
      <c r="AC15" s="227"/>
      <c r="AD15" s="198"/>
      <c r="AE15" s="196"/>
      <c r="AF15" s="196"/>
      <c r="AG15" s="196"/>
      <c r="AH15" s="196"/>
      <c r="AI15" s="196"/>
    </row>
    <row r="16" spans="2:35" ht="15" customHeight="1">
      <c r="B16" s="190"/>
      <c r="C16" s="203"/>
      <c r="D16" s="228" t="s">
        <v>70</v>
      </c>
      <c r="E16" s="191"/>
      <c r="F16" s="223"/>
      <c r="G16" s="224">
        <v>0</v>
      </c>
      <c r="H16" s="225">
        <f t="shared" si="0"/>
        <v>0</v>
      </c>
      <c r="I16" s="226"/>
      <c r="J16" s="223">
        <v>0.5</v>
      </c>
      <c r="K16" s="224">
        <v>50000</v>
      </c>
      <c r="L16" s="225">
        <f t="shared" si="1"/>
        <v>25000</v>
      </c>
      <c r="M16" s="226"/>
      <c r="N16" s="223">
        <v>1</v>
      </c>
      <c r="O16" s="224">
        <f t="shared" si="6"/>
        <v>51500</v>
      </c>
      <c r="P16" s="225">
        <f t="shared" si="2"/>
        <v>51500</v>
      </c>
      <c r="Q16" s="226"/>
      <c r="R16" s="223">
        <v>1</v>
      </c>
      <c r="S16" s="224">
        <v>51000</v>
      </c>
      <c r="T16" s="225">
        <f t="shared" si="3"/>
        <v>51000</v>
      </c>
      <c r="U16" s="226"/>
      <c r="V16" s="223">
        <v>1</v>
      </c>
      <c r="W16" s="224">
        <f t="shared" si="8"/>
        <v>52530</v>
      </c>
      <c r="X16" s="225">
        <f t="shared" si="4"/>
        <v>52530</v>
      </c>
      <c r="Y16" s="226"/>
      <c r="Z16" s="223">
        <v>1</v>
      </c>
      <c r="AA16" s="224">
        <f t="shared" si="9"/>
        <v>54105.9</v>
      </c>
      <c r="AB16" s="225">
        <f t="shared" si="5"/>
        <v>54105.9</v>
      </c>
      <c r="AC16" s="202"/>
      <c r="AD16" s="195"/>
    </row>
    <row r="17" spans="2:35" ht="15" customHeight="1">
      <c r="B17" s="190"/>
      <c r="C17" s="203"/>
      <c r="D17" s="228" t="s">
        <v>71</v>
      </c>
      <c r="E17" s="191"/>
      <c r="F17" s="223"/>
      <c r="G17" s="224">
        <v>0</v>
      </c>
      <c r="H17" s="225">
        <f t="shared" si="0"/>
        <v>0</v>
      </c>
      <c r="I17" s="226"/>
      <c r="J17" s="223">
        <v>0.5</v>
      </c>
      <c r="K17" s="224">
        <v>50000</v>
      </c>
      <c r="L17" s="225">
        <f t="shared" si="1"/>
        <v>25000</v>
      </c>
      <c r="M17" s="226"/>
      <c r="N17" s="223">
        <v>1</v>
      </c>
      <c r="O17" s="224">
        <f t="shared" si="6"/>
        <v>51500</v>
      </c>
      <c r="P17" s="225">
        <f t="shared" si="2"/>
        <v>51500</v>
      </c>
      <c r="Q17" s="226"/>
      <c r="R17" s="223">
        <v>1</v>
      </c>
      <c r="S17" s="224">
        <v>51000</v>
      </c>
      <c r="T17" s="225">
        <f t="shared" si="3"/>
        <v>51000</v>
      </c>
      <c r="U17" s="226"/>
      <c r="V17" s="223">
        <v>1</v>
      </c>
      <c r="W17" s="224">
        <f t="shared" si="8"/>
        <v>52530</v>
      </c>
      <c r="X17" s="225">
        <f t="shared" si="4"/>
        <v>52530</v>
      </c>
      <c r="Y17" s="226"/>
      <c r="Z17" s="223">
        <v>1</v>
      </c>
      <c r="AA17" s="224">
        <f t="shared" si="9"/>
        <v>54105.9</v>
      </c>
      <c r="AB17" s="225">
        <f t="shared" si="5"/>
        <v>54105.9</v>
      </c>
      <c r="AC17" s="202"/>
      <c r="AD17" s="195"/>
    </row>
    <row r="18" spans="2:35" ht="15" customHeight="1">
      <c r="B18" s="190"/>
      <c r="C18" s="203"/>
      <c r="D18" s="228" t="s">
        <v>72</v>
      </c>
      <c r="E18" s="191"/>
      <c r="F18" s="223"/>
      <c r="G18" s="224">
        <v>0</v>
      </c>
      <c r="H18" s="225">
        <f t="shared" si="0"/>
        <v>0</v>
      </c>
      <c r="I18" s="226"/>
      <c r="J18" s="223">
        <v>1</v>
      </c>
      <c r="K18" s="224">
        <v>50000</v>
      </c>
      <c r="L18" s="225">
        <f t="shared" si="1"/>
        <v>50000</v>
      </c>
      <c r="M18" s="226"/>
      <c r="N18" s="223">
        <v>1</v>
      </c>
      <c r="O18" s="224">
        <f t="shared" si="6"/>
        <v>51500</v>
      </c>
      <c r="P18" s="225">
        <f t="shared" si="2"/>
        <v>51500</v>
      </c>
      <c r="Q18" s="226"/>
      <c r="R18" s="223">
        <v>1</v>
      </c>
      <c r="S18" s="224">
        <f t="shared" si="7"/>
        <v>53045</v>
      </c>
      <c r="T18" s="225">
        <f t="shared" si="3"/>
        <v>53045</v>
      </c>
      <c r="U18" s="226"/>
      <c r="V18" s="223">
        <v>1</v>
      </c>
      <c r="W18" s="224">
        <f t="shared" si="8"/>
        <v>54636.35</v>
      </c>
      <c r="X18" s="225">
        <f t="shared" si="4"/>
        <v>54636.35</v>
      </c>
      <c r="Y18" s="226"/>
      <c r="Z18" s="223">
        <v>1</v>
      </c>
      <c r="AA18" s="224">
        <f t="shared" si="9"/>
        <v>56275.440499999997</v>
      </c>
      <c r="AB18" s="225">
        <f t="shared" si="5"/>
        <v>56275.440499999997</v>
      </c>
      <c r="AC18" s="202"/>
      <c r="AD18" s="195"/>
    </row>
    <row r="19" spans="2:35" ht="15" customHeight="1">
      <c r="B19" s="190"/>
      <c r="C19" s="203"/>
      <c r="D19" s="228"/>
      <c r="E19" s="191"/>
      <c r="F19" s="223"/>
      <c r="G19" s="224">
        <v>0</v>
      </c>
      <c r="H19" s="225">
        <f t="shared" si="0"/>
        <v>0</v>
      </c>
      <c r="I19" s="226"/>
      <c r="J19" s="223"/>
      <c r="K19" s="224"/>
      <c r="L19" s="225">
        <f t="shared" si="1"/>
        <v>0</v>
      </c>
      <c r="M19" s="226"/>
      <c r="N19" s="223"/>
      <c r="O19" s="224">
        <f t="shared" si="6"/>
        <v>0</v>
      </c>
      <c r="P19" s="225">
        <f t="shared" si="2"/>
        <v>0</v>
      </c>
      <c r="Q19" s="226"/>
      <c r="R19" s="223"/>
      <c r="S19" s="224">
        <f t="shared" si="7"/>
        <v>0</v>
      </c>
      <c r="T19" s="225">
        <f t="shared" si="3"/>
        <v>0</v>
      </c>
      <c r="U19" s="226"/>
      <c r="V19" s="223"/>
      <c r="W19" s="224">
        <f t="shared" si="8"/>
        <v>0</v>
      </c>
      <c r="X19" s="225">
        <f t="shared" si="4"/>
        <v>0</v>
      </c>
      <c r="Y19" s="226"/>
      <c r="Z19" s="223"/>
      <c r="AA19" s="224">
        <f t="shared" si="9"/>
        <v>0</v>
      </c>
      <c r="AB19" s="225">
        <f t="shared" si="5"/>
        <v>0</v>
      </c>
      <c r="AC19" s="202"/>
      <c r="AD19" s="195"/>
    </row>
    <row r="20" spans="2:35" ht="15" customHeight="1">
      <c r="B20" s="190"/>
      <c r="C20" s="203"/>
      <c r="D20" s="228" t="s">
        <v>73</v>
      </c>
      <c r="E20" s="191"/>
      <c r="F20" s="223"/>
      <c r="G20" s="224">
        <v>0</v>
      </c>
      <c r="H20" s="225">
        <f t="shared" si="0"/>
        <v>0</v>
      </c>
      <c r="I20" s="226"/>
      <c r="J20" s="223">
        <v>0</v>
      </c>
      <c r="K20" s="224">
        <v>36000</v>
      </c>
      <c r="L20" s="225">
        <f t="shared" ref="L20:L25" si="10">J20*K20</f>
        <v>0</v>
      </c>
      <c r="M20" s="226"/>
      <c r="N20" s="223">
        <v>2</v>
      </c>
      <c r="O20" s="224">
        <f t="shared" si="6"/>
        <v>37080</v>
      </c>
      <c r="P20" s="225">
        <f t="shared" ref="P20:P25" si="11">N20*O20</f>
        <v>74160</v>
      </c>
      <c r="Q20" s="226"/>
      <c r="R20" s="223">
        <v>2</v>
      </c>
      <c r="S20" s="224">
        <f t="shared" si="7"/>
        <v>38192.400000000001</v>
      </c>
      <c r="T20" s="225">
        <f t="shared" ref="T20:T25" si="12">R20*S20</f>
        <v>76384.800000000003</v>
      </c>
      <c r="U20" s="226"/>
      <c r="V20" s="223">
        <v>2</v>
      </c>
      <c r="W20" s="224">
        <f t="shared" si="8"/>
        <v>39338.172000000006</v>
      </c>
      <c r="X20" s="225">
        <f t="shared" ref="X20:X25" si="13">V20*W20</f>
        <v>78676.344000000012</v>
      </c>
      <c r="Y20" s="226"/>
      <c r="Z20" s="223">
        <v>2</v>
      </c>
      <c r="AA20" s="224">
        <f t="shared" si="9"/>
        <v>40518.317160000006</v>
      </c>
      <c r="AB20" s="225">
        <f t="shared" ref="AB20:AB25" si="14">Z20*AA20</f>
        <v>81036.634320000012</v>
      </c>
      <c r="AC20" s="202"/>
      <c r="AD20" s="195"/>
    </row>
    <row r="21" spans="2:35" ht="15" customHeight="1">
      <c r="B21" s="190"/>
      <c r="C21" s="203"/>
      <c r="D21" s="228"/>
      <c r="E21" s="191"/>
      <c r="F21" s="223"/>
      <c r="G21" s="224">
        <v>0</v>
      </c>
      <c r="H21" s="225">
        <f t="shared" si="0"/>
        <v>0</v>
      </c>
      <c r="I21" s="226"/>
      <c r="J21" s="223"/>
      <c r="K21" s="224">
        <v>0</v>
      </c>
      <c r="L21" s="225">
        <f t="shared" si="10"/>
        <v>0</v>
      </c>
      <c r="M21" s="226"/>
      <c r="N21" s="223"/>
      <c r="O21" s="224">
        <f t="shared" si="6"/>
        <v>0</v>
      </c>
      <c r="P21" s="225">
        <f t="shared" si="11"/>
        <v>0</v>
      </c>
      <c r="Q21" s="226"/>
      <c r="R21" s="223"/>
      <c r="S21" s="224">
        <f t="shared" si="7"/>
        <v>0</v>
      </c>
      <c r="T21" s="225">
        <f t="shared" si="12"/>
        <v>0</v>
      </c>
      <c r="U21" s="226"/>
      <c r="V21" s="223"/>
      <c r="W21" s="224">
        <f t="shared" si="8"/>
        <v>0</v>
      </c>
      <c r="X21" s="225">
        <f t="shared" si="13"/>
        <v>0</v>
      </c>
      <c r="Y21" s="226"/>
      <c r="Z21" s="223"/>
      <c r="AA21" s="224">
        <f t="shared" si="9"/>
        <v>0</v>
      </c>
      <c r="AB21" s="225">
        <f t="shared" si="14"/>
        <v>0</v>
      </c>
      <c r="AC21" s="202"/>
      <c r="AD21" s="195"/>
    </row>
    <row r="22" spans="2:35" ht="15" customHeight="1">
      <c r="B22" s="190"/>
      <c r="C22" s="203"/>
      <c r="D22" s="228" t="s">
        <v>74</v>
      </c>
      <c r="E22" s="191"/>
      <c r="F22" s="223"/>
      <c r="G22" s="224">
        <v>0</v>
      </c>
      <c r="H22" s="225">
        <f t="shared" si="0"/>
        <v>0</v>
      </c>
      <c r="I22" s="226"/>
      <c r="J22" s="223">
        <v>4</v>
      </c>
      <c r="K22" s="224">
        <v>10000</v>
      </c>
      <c r="L22" s="225">
        <f t="shared" si="10"/>
        <v>40000</v>
      </c>
      <c r="M22" s="226"/>
      <c r="N22" s="223">
        <v>4</v>
      </c>
      <c r="O22" s="224">
        <f t="shared" si="6"/>
        <v>10300</v>
      </c>
      <c r="P22" s="225">
        <f t="shared" si="11"/>
        <v>41200</v>
      </c>
      <c r="Q22" s="226"/>
      <c r="R22" s="223">
        <v>6</v>
      </c>
      <c r="S22" s="224">
        <f t="shared" si="7"/>
        <v>10609</v>
      </c>
      <c r="T22" s="225">
        <f t="shared" si="12"/>
        <v>63654</v>
      </c>
      <c r="U22" s="226"/>
      <c r="V22" s="223">
        <v>6</v>
      </c>
      <c r="W22" s="224">
        <f t="shared" si="8"/>
        <v>10927.27</v>
      </c>
      <c r="X22" s="225">
        <f t="shared" si="13"/>
        <v>65563.62</v>
      </c>
      <c r="Y22" s="226"/>
      <c r="Z22" s="223">
        <v>7</v>
      </c>
      <c r="AA22" s="224">
        <f t="shared" si="9"/>
        <v>11255.088100000001</v>
      </c>
      <c r="AB22" s="225">
        <f t="shared" si="14"/>
        <v>78785.616700000013</v>
      </c>
      <c r="AC22" s="202"/>
      <c r="AD22" s="195"/>
    </row>
    <row r="23" spans="2:35" ht="15" customHeight="1">
      <c r="B23" s="190"/>
      <c r="C23" s="203"/>
      <c r="D23" s="228"/>
      <c r="E23" s="191"/>
      <c r="F23" s="223"/>
      <c r="G23" s="224">
        <v>0</v>
      </c>
      <c r="H23" s="225">
        <f t="shared" si="0"/>
        <v>0</v>
      </c>
      <c r="I23" s="226"/>
      <c r="J23" s="223"/>
      <c r="K23" s="224">
        <v>0</v>
      </c>
      <c r="L23" s="225">
        <f t="shared" si="10"/>
        <v>0</v>
      </c>
      <c r="M23" s="226"/>
      <c r="N23" s="223"/>
      <c r="O23" s="224">
        <f t="shared" si="6"/>
        <v>0</v>
      </c>
      <c r="P23" s="225">
        <f t="shared" si="11"/>
        <v>0</v>
      </c>
      <c r="Q23" s="226"/>
      <c r="R23" s="223"/>
      <c r="S23" s="224">
        <f t="shared" si="7"/>
        <v>0</v>
      </c>
      <c r="T23" s="225">
        <f t="shared" si="12"/>
        <v>0</v>
      </c>
      <c r="U23" s="226"/>
      <c r="V23" s="223"/>
      <c r="W23" s="224">
        <f t="shared" si="8"/>
        <v>0</v>
      </c>
      <c r="X23" s="225">
        <f t="shared" si="13"/>
        <v>0</v>
      </c>
      <c r="Y23" s="226"/>
      <c r="Z23" s="223"/>
      <c r="AA23" s="224">
        <f t="shared" si="9"/>
        <v>0</v>
      </c>
      <c r="AB23" s="225">
        <f t="shared" si="14"/>
        <v>0</v>
      </c>
      <c r="AC23" s="202"/>
      <c r="AD23" s="195"/>
    </row>
    <row r="24" spans="2:35" ht="15" customHeight="1">
      <c r="B24" s="190"/>
      <c r="C24" s="203"/>
      <c r="D24" s="228"/>
      <c r="E24" s="191"/>
      <c r="F24" s="223"/>
      <c r="G24" s="224">
        <v>0</v>
      </c>
      <c r="H24" s="225">
        <f t="shared" si="0"/>
        <v>0</v>
      </c>
      <c r="I24" s="226"/>
      <c r="J24" s="223"/>
      <c r="K24" s="224">
        <v>0</v>
      </c>
      <c r="L24" s="225">
        <f t="shared" si="10"/>
        <v>0</v>
      </c>
      <c r="M24" s="226"/>
      <c r="N24" s="223"/>
      <c r="O24" s="224">
        <f t="shared" si="6"/>
        <v>0</v>
      </c>
      <c r="P24" s="225">
        <f t="shared" si="11"/>
        <v>0</v>
      </c>
      <c r="Q24" s="226"/>
      <c r="R24" s="223"/>
      <c r="S24" s="224">
        <f t="shared" si="7"/>
        <v>0</v>
      </c>
      <c r="T24" s="225">
        <f t="shared" si="12"/>
        <v>0</v>
      </c>
      <c r="U24" s="226"/>
      <c r="V24" s="223"/>
      <c r="W24" s="224">
        <f t="shared" si="8"/>
        <v>0</v>
      </c>
      <c r="X24" s="225">
        <f t="shared" si="13"/>
        <v>0</v>
      </c>
      <c r="Y24" s="226"/>
      <c r="Z24" s="223"/>
      <c r="AA24" s="224">
        <f t="shared" si="9"/>
        <v>0</v>
      </c>
      <c r="AB24" s="225">
        <f t="shared" si="14"/>
        <v>0</v>
      </c>
      <c r="AC24" s="202"/>
      <c r="AD24" s="195"/>
    </row>
    <row r="25" spans="2:35" ht="15" customHeight="1">
      <c r="B25" s="190"/>
      <c r="C25" s="203"/>
      <c r="D25" s="228"/>
      <c r="E25" s="191"/>
      <c r="F25" s="223"/>
      <c r="G25" s="224">
        <v>0</v>
      </c>
      <c r="H25" s="225">
        <f t="shared" si="0"/>
        <v>0</v>
      </c>
      <c r="I25" s="226"/>
      <c r="J25" s="223"/>
      <c r="K25" s="224">
        <v>0</v>
      </c>
      <c r="L25" s="225">
        <f t="shared" si="10"/>
        <v>0</v>
      </c>
      <c r="M25" s="226"/>
      <c r="N25" s="223"/>
      <c r="O25" s="224">
        <f t="shared" si="6"/>
        <v>0</v>
      </c>
      <c r="P25" s="225">
        <f t="shared" si="11"/>
        <v>0</v>
      </c>
      <c r="Q25" s="226"/>
      <c r="R25" s="223"/>
      <c r="S25" s="224">
        <f t="shared" si="7"/>
        <v>0</v>
      </c>
      <c r="T25" s="225">
        <f t="shared" si="12"/>
        <v>0</v>
      </c>
      <c r="U25" s="226"/>
      <c r="V25" s="223"/>
      <c r="W25" s="224">
        <f t="shared" si="8"/>
        <v>0</v>
      </c>
      <c r="X25" s="225">
        <f t="shared" si="13"/>
        <v>0</v>
      </c>
      <c r="Y25" s="226"/>
      <c r="Z25" s="223"/>
      <c r="AA25" s="224">
        <f t="shared" si="9"/>
        <v>0</v>
      </c>
      <c r="AB25" s="225">
        <f t="shared" si="14"/>
        <v>0</v>
      </c>
      <c r="AC25" s="202"/>
      <c r="AD25" s="195"/>
    </row>
    <row r="26" spans="2:35" ht="15" customHeight="1">
      <c r="B26" s="190"/>
      <c r="C26" s="203"/>
      <c r="D26" s="228"/>
      <c r="E26" s="191"/>
      <c r="F26" s="223"/>
      <c r="G26" s="224">
        <v>0</v>
      </c>
      <c r="H26" s="225">
        <f t="shared" si="0"/>
        <v>0</v>
      </c>
      <c r="I26" s="226"/>
      <c r="J26" s="223"/>
      <c r="K26" s="224">
        <v>0</v>
      </c>
      <c r="L26" s="225">
        <f t="shared" si="1"/>
        <v>0</v>
      </c>
      <c r="M26" s="226"/>
      <c r="N26" s="223"/>
      <c r="O26" s="224">
        <f t="shared" si="6"/>
        <v>0</v>
      </c>
      <c r="P26" s="225">
        <f t="shared" si="2"/>
        <v>0</v>
      </c>
      <c r="Q26" s="226"/>
      <c r="R26" s="223"/>
      <c r="S26" s="224">
        <f t="shared" si="7"/>
        <v>0</v>
      </c>
      <c r="T26" s="225">
        <f t="shared" si="3"/>
        <v>0</v>
      </c>
      <c r="U26" s="226"/>
      <c r="V26" s="223"/>
      <c r="W26" s="224">
        <f t="shared" si="8"/>
        <v>0</v>
      </c>
      <c r="X26" s="225">
        <f t="shared" si="4"/>
        <v>0</v>
      </c>
      <c r="Y26" s="226"/>
      <c r="Z26" s="223"/>
      <c r="AA26" s="224">
        <f t="shared" si="9"/>
        <v>0</v>
      </c>
      <c r="AB26" s="225">
        <f t="shared" si="5"/>
        <v>0</v>
      </c>
      <c r="AC26" s="202"/>
      <c r="AD26" s="195"/>
    </row>
    <row r="27" spans="2:35" ht="15" customHeight="1">
      <c r="B27" s="190"/>
      <c r="C27" s="203"/>
      <c r="D27" s="229"/>
      <c r="E27" s="230"/>
      <c r="F27" s="223"/>
      <c r="G27" s="224">
        <v>0</v>
      </c>
      <c r="H27" s="225">
        <f t="shared" si="0"/>
        <v>0</v>
      </c>
      <c r="I27" s="226"/>
      <c r="J27" s="223"/>
      <c r="K27" s="224">
        <v>0</v>
      </c>
      <c r="L27" s="225">
        <f t="shared" si="1"/>
        <v>0</v>
      </c>
      <c r="M27" s="226"/>
      <c r="N27" s="223"/>
      <c r="O27" s="224">
        <f t="shared" si="6"/>
        <v>0</v>
      </c>
      <c r="P27" s="225">
        <f t="shared" si="2"/>
        <v>0</v>
      </c>
      <c r="Q27" s="226"/>
      <c r="R27" s="223"/>
      <c r="S27" s="224">
        <f t="shared" si="7"/>
        <v>0</v>
      </c>
      <c r="T27" s="225">
        <f t="shared" si="3"/>
        <v>0</v>
      </c>
      <c r="U27" s="226"/>
      <c r="V27" s="223"/>
      <c r="W27" s="224">
        <f t="shared" si="8"/>
        <v>0</v>
      </c>
      <c r="X27" s="225">
        <f t="shared" si="4"/>
        <v>0</v>
      </c>
      <c r="Y27" s="226"/>
      <c r="Z27" s="223"/>
      <c r="AA27" s="224">
        <f t="shared" si="9"/>
        <v>0</v>
      </c>
      <c r="AB27" s="225">
        <f t="shared" si="5"/>
        <v>0</v>
      </c>
      <c r="AC27" s="202"/>
      <c r="AD27" s="195" t="s">
        <v>75</v>
      </c>
    </row>
    <row r="28" spans="2:35" ht="15" customHeight="1">
      <c r="B28" s="190"/>
      <c r="C28" s="203"/>
      <c r="D28" s="231" t="s">
        <v>76</v>
      </c>
      <c r="E28" s="192"/>
      <c r="F28" s="232">
        <f>SUM(F13:F27)</f>
        <v>0</v>
      </c>
      <c r="G28" s="233"/>
      <c r="H28" s="234">
        <f>SUM(H13:H27)</f>
        <v>0</v>
      </c>
      <c r="I28" s="235"/>
      <c r="J28" s="232">
        <f>SUM(J13:J27)</f>
        <v>9</v>
      </c>
      <c r="K28" s="233"/>
      <c r="L28" s="234">
        <f>SUM(L13:L27)</f>
        <v>290000</v>
      </c>
      <c r="M28" s="235"/>
      <c r="N28" s="232">
        <f>SUM(N13:N27)</f>
        <v>13</v>
      </c>
      <c r="O28" s="233"/>
      <c r="P28" s="234">
        <f>SUM(P13:P27)</f>
        <v>475860</v>
      </c>
      <c r="Q28" s="235"/>
      <c r="R28" s="232">
        <f>SUM(R13:R27)</f>
        <v>15</v>
      </c>
      <c r="S28" s="233"/>
      <c r="T28" s="234">
        <f>SUM(T13:T27)</f>
        <v>507263.8</v>
      </c>
      <c r="U28" s="235"/>
      <c r="V28" s="232">
        <f>SUM(V13:V27)</f>
        <v>15</v>
      </c>
      <c r="W28" s="233"/>
      <c r="X28" s="234">
        <f>SUM(X13:X27)</f>
        <v>522481.71400000004</v>
      </c>
      <c r="Y28" s="235"/>
      <c r="Z28" s="232">
        <f>SUM(Z13:Z27)</f>
        <v>16</v>
      </c>
      <c r="AA28" s="233"/>
      <c r="AB28" s="234">
        <f>SUM(AB13:AB27)</f>
        <v>549411.25352000003</v>
      </c>
      <c r="AC28" s="202"/>
      <c r="AD28" s="195"/>
    </row>
    <row r="29" spans="2:35" ht="15" customHeight="1">
      <c r="B29" s="190"/>
      <c r="C29" s="203"/>
      <c r="D29" s="236"/>
      <c r="E29" s="192"/>
      <c r="F29" s="237"/>
      <c r="G29" s="238"/>
      <c r="H29" s="239"/>
      <c r="I29" s="192"/>
      <c r="J29" s="237"/>
      <c r="K29" s="238"/>
      <c r="L29" s="239"/>
      <c r="M29" s="192"/>
      <c r="N29" s="237"/>
      <c r="O29" s="238"/>
      <c r="P29" s="239"/>
      <c r="Q29" s="192"/>
      <c r="R29" s="237"/>
      <c r="S29" s="238"/>
      <c r="T29" s="239"/>
      <c r="U29" s="192"/>
      <c r="V29" s="237"/>
      <c r="W29" s="238"/>
      <c r="X29" s="239"/>
      <c r="Y29" s="192"/>
      <c r="Z29" s="237"/>
      <c r="AA29" s="238"/>
      <c r="AB29" s="239"/>
      <c r="AC29" s="202"/>
      <c r="AD29" s="195"/>
    </row>
    <row r="30" spans="2:35" ht="15" customHeight="1">
      <c r="B30" s="190"/>
      <c r="C30" s="203"/>
      <c r="D30" s="212" t="s">
        <v>77</v>
      </c>
      <c r="E30" s="213"/>
      <c r="F30" s="240"/>
      <c r="G30" s="241"/>
      <c r="H30" s="242"/>
      <c r="I30" s="194"/>
      <c r="J30" s="243"/>
      <c r="K30" s="244"/>
      <c r="L30" s="245"/>
      <c r="M30" s="221"/>
      <c r="N30" s="243"/>
      <c r="O30" s="244"/>
      <c r="P30" s="245"/>
      <c r="Q30" s="221"/>
      <c r="R30" s="243"/>
      <c r="S30" s="244"/>
      <c r="T30" s="245"/>
      <c r="U30" s="221"/>
      <c r="V30" s="243"/>
      <c r="W30" s="244"/>
      <c r="X30" s="245"/>
      <c r="Y30" s="221"/>
      <c r="Z30" s="243"/>
      <c r="AA30" s="244"/>
      <c r="AB30" s="245"/>
      <c r="AC30" s="227"/>
      <c r="AD30" s="198"/>
      <c r="AE30" s="196"/>
      <c r="AF30" s="196"/>
      <c r="AG30" s="196"/>
      <c r="AH30" s="196"/>
      <c r="AI30" s="196"/>
    </row>
    <row r="31" spans="2:35" ht="15" customHeight="1">
      <c r="B31" s="190"/>
      <c r="C31" s="203"/>
      <c r="D31" s="222" t="s">
        <v>67</v>
      </c>
      <c r="E31" s="191"/>
      <c r="F31" s="223"/>
      <c r="G31" s="224">
        <v>0</v>
      </c>
      <c r="H31" s="225">
        <f>F31*G31</f>
        <v>0</v>
      </c>
      <c r="I31" s="226"/>
      <c r="J31" s="223"/>
      <c r="K31" s="224">
        <v>0</v>
      </c>
      <c r="L31" s="225">
        <f>J31*K31</f>
        <v>0</v>
      </c>
      <c r="M31" s="246"/>
      <c r="N31" s="223"/>
      <c r="O31" s="224">
        <v>0</v>
      </c>
      <c r="P31" s="225">
        <f>N31*O31</f>
        <v>0</v>
      </c>
      <c r="Q31" s="246"/>
      <c r="R31" s="223"/>
      <c r="S31" s="224">
        <v>0</v>
      </c>
      <c r="T31" s="225">
        <f>R31*S31</f>
        <v>0</v>
      </c>
      <c r="U31" s="246"/>
      <c r="V31" s="223"/>
      <c r="W31" s="224">
        <v>0</v>
      </c>
      <c r="X31" s="225">
        <f>V31*W31</f>
        <v>0</v>
      </c>
      <c r="Y31" s="246"/>
      <c r="Z31" s="223"/>
      <c r="AA31" s="224">
        <v>0</v>
      </c>
      <c r="AB31" s="225">
        <f>Z31*AA31</f>
        <v>0</v>
      </c>
      <c r="AC31" s="247"/>
      <c r="AD31" s="195"/>
    </row>
    <row r="32" spans="2:35" ht="15" customHeight="1">
      <c r="B32" s="190"/>
      <c r="C32" s="203"/>
      <c r="D32" s="228" t="s">
        <v>78</v>
      </c>
      <c r="E32" s="191"/>
      <c r="F32" s="223">
        <v>0.5</v>
      </c>
      <c r="G32" s="224">
        <v>90000</v>
      </c>
      <c r="H32" s="225">
        <f t="shared" ref="H32:H45" si="15">F32*G32</f>
        <v>45000</v>
      </c>
      <c r="I32" s="226"/>
      <c r="J32" s="223">
        <v>1</v>
      </c>
      <c r="K32" s="224">
        <f>G32*1.03</f>
        <v>92700</v>
      </c>
      <c r="L32" s="225">
        <f t="shared" ref="L32:L45" si="16">J32*K32</f>
        <v>92700</v>
      </c>
      <c r="M32" s="246"/>
      <c r="N32" s="223">
        <v>1</v>
      </c>
      <c r="O32" s="224">
        <f>K32*1.03</f>
        <v>95481</v>
      </c>
      <c r="P32" s="225">
        <f t="shared" ref="P32:P45" si="17">N32*O32</f>
        <v>95481</v>
      </c>
      <c r="Q32" s="246"/>
      <c r="R32" s="223">
        <v>1</v>
      </c>
      <c r="S32" s="224">
        <f>O32*1.03</f>
        <v>98345.430000000008</v>
      </c>
      <c r="T32" s="225">
        <f t="shared" ref="T32:T45" si="18">R32*S32</f>
        <v>98345.430000000008</v>
      </c>
      <c r="U32" s="246"/>
      <c r="V32" s="223">
        <v>1</v>
      </c>
      <c r="W32" s="224">
        <f>S32*1.03</f>
        <v>101295.79290000001</v>
      </c>
      <c r="X32" s="225">
        <f t="shared" ref="X32:X45" si="19">V32*W32</f>
        <v>101295.79290000001</v>
      </c>
      <c r="Y32" s="246"/>
      <c r="Z32" s="223">
        <v>1</v>
      </c>
      <c r="AA32" s="224">
        <f>W32*1.03</f>
        <v>104334.66668700002</v>
      </c>
      <c r="AB32" s="225">
        <f t="shared" ref="AB32:AB45" si="20">Z32*AA32</f>
        <v>104334.66668700002</v>
      </c>
      <c r="AC32" s="247"/>
      <c r="AD32" s="195"/>
      <c r="AE32" s="187" t="s">
        <v>75</v>
      </c>
    </row>
    <row r="33" spans="2:35" ht="15" customHeight="1">
      <c r="B33" s="190"/>
      <c r="C33" s="203"/>
      <c r="D33" s="228" t="s">
        <v>79</v>
      </c>
      <c r="E33" s="191"/>
      <c r="F33" s="223"/>
      <c r="G33" s="224">
        <v>0</v>
      </c>
      <c r="H33" s="225">
        <f t="shared" si="15"/>
        <v>0</v>
      </c>
      <c r="I33" s="226"/>
      <c r="J33" s="223">
        <v>1</v>
      </c>
      <c r="K33" s="224">
        <v>70000</v>
      </c>
      <c r="L33" s="225">
        <f t="shared" si="16"/>
        <v>70000</v>
      </c>
      <c r="M33" s="246"/>
      <c r="N33" s="223">
        <v>1</v>
      </c>
      <c r="O33" s="224">
        <f t="shared" ref="O33:O45" si="21">K33*1.03</f>
        <v>72100</v>
      </c>
      <c r="P33" s="225">
        <f t="shared" si="17"/>
        <v>72100</v>
      </c>
      <c r="Q33" s="246"/>
      <c r="R33" s="223">
        <v>1</v>
      </c>
      <c r="S33" s="224">
        <f t="shared" ref="S33:S45" si="22">O33*1.03</f>
        <v>74263</v>
      </c>
      <c r="T33" s="225">
        <f t="shared" si="18"/>
        <v>74263</v>
      </c>
      <c r="U33" s="246"/>
      <c r="V33" s="223">
        <v>1</v>
      </c>
      <c r="W33" s="224">
        <f t="shared" ref="W33:W45" si="23">S33*1.03</f>
        <v>76490.89</v>
      </c>
      <c r="X33" s="225">
        <f t="shared" si="19"/>
        <v>76490.89</v>
      </c>
      <c r="Y33" s="246"/>
      <c r="Z33" s="223">
        <v>1</v>
      </c>
      <c r="AA33" s="224">
        <f t="shared" ref="AA33:AA45" si="24">W33*1.03</f>
        <v>78785.616699999999</v>
      </c>
      <c r="AB33" s="225">
        <f t="shared" si="20"/>
        <v>78785.616699999999</v>
      </c>
      <c r="AC33" s="247"/>
      <c r="AD33" s="195"/>
    </row>
    <row r="34" spans="2:35" ht="15" customHeight="1">
      <c r="B34" s="190"/>
      <c r="C34" s="203"/>
      <c r="D34" s="248"/>
      <c r="E34" s="249"/>
      <c r="F34" s="223"/>
      <c r="G34" s="224">
        <v>0</v>
      </c>
      <c r="H34" s="225">
        <f t="shared" si="15"/>
        <v>0</v>
      </c>
      <c r="I34" s="226"/>
      <c r="J34" s="223"/>
      <c r="K34" s="224">
        <f t="shared" ref="K34:K45" si="25">G34*1.03</f>
        <v>0</v>
      </c>
      <c r="L34" s="225">
        <f t="shared" si="16"/>
        <v>0</v>
      </c>
      <c r="M34" s="246"/>
      <c r="N34" s="223"/>
      <c r="O34" s="224">
        <f t="shared" si="21"/>
        <v>0</v>
      </c>
      <c r="P34" s="225">
        <f t="shared" si="17"/>
        <v>0</v>
      </c>
      <c r="Q34" s="246"/>
      <c r="R34" s="223"/>
      <c r="S34" s="224">
        <f t="shared" si="22"/>
        <v>0</v>
      </c>
      <c r="T34" s="225">
        <f t="shared" si="18"/>
        <v>0</v>
      </c>
      <c r="U34" s="246"/>
      <c r="V34" s="223"/>
      <c r="W34" s="224">
        <f t="shared" si="23"/>
        <v>0</v>
      </c>
      <c r="X34" s="225">
        <f t="shared" si="19"/>
        <v>0</v>
      </c>
      <c r="Y34" s="246"/>
      <c r="Z34" s="223"/>
      <c r="AA34" s="224">
        <f t="shared" si="24"/>
        <v>0</v>
      </c>
      <c r="AB34" s="225">
        <f t="shared" si="20"/>
        <v>0</v>
      </c>
      <c r="AC34" s="247" t="s">
        <v>75</v>
      </c>
      <c r="AD34" s="195"/>
    </row>
    <row r="35" spans="2:35" ht="15" customHeight="1">
      <c r="B35" s="190"/>
      <c r="C35" s="203"/>
      <c r="D35" s="248" t="s">
        <v>80</v>
      </c>
      <c r="E35" s="249"/>
      <c r="F35" s="223">
        <v>0.5</v>
      </c>
      <c r="G35" s="224">
        <v>40000</v>
      </c>
      <c r="H35" s="225">
        <f t="shared" ref="H35:H40" si="26">F35*G35</f>
        <v>20000</v>
      </c>
      <c r="I35" s="226"/>
      <c r="J35" s="223">
        <v>0.5</v>
      </c>
      <c r="K35" s="224">
        <f t="shared" si="25"/>
        <v>41200</v>
      </c>
      <c r="L35" s="225">
        <f t="shared" ref="L35:L40" si="27">J35*K35</f>
        <v>20600</v>
      </c>
      <c r="M35" s="246"/>
      <c r="N35" s="223">
        <v>1</v>
      </c>
      <c r="O35" s="224">
        <f t="shared" si="21"/>
        <v>42436</v>
      </c>
      <c r="P35" s="225">
        <f t="shared" ref="P35:P40" si="28">N35*O35</f>
        <v>42436</v>
      </c>
      <c r="Q35" s="246"/>
      <c r="R35" s="223">
        <v>1</v>
      </c>
      <c r="S35" s="224">
        <f t="shared" si="22"/>
        <v>43709.08</v>
      </c>
      <c r="T35" s="225">
        <f t="shared" ref="T35:T40" si="29">R35*S35</f>
        <v>43709.08</v>
      </c>
      <c r="U35" s="246"/>
      <c r="V35" s="223">
        <v>1</v>
      </c>
      <c r="W35" s="224">
        <f t="shared" si="23"/>
        <v>45020.352400000003</v>
      </c>
      <c r="X35" s="225">
        <f t="shared" ref="X35:X40" si="30">V35*W35</f>
        <v>45020.352400000003</v>
      </c>
      <c r="Y35" s="246"/>
      <c r="Z35" s="223">
        <v>1.5</v>
      </c>
      <c r="AA35" s="224">
        <f t="shared" si="24"/>
        <v>46370.962972000001</v>
      </c>
      <c r="AB35" s="225">
        <f t="shared" ref="AB35:AB40" si="31">Z35*AA35</f>
        <v>69556.444457999998</v>
      </c>
      <c r="AC35" s="247"/>
      <c r="AD35" s="195"/>
    </row>
    <row r="36" spans="2:35" ht="15" customHeight="1">
      <c r="B36" s="190"/>
      <c r="C36" s="203"/>
      <c r="D36" s="248" t="s">
        <v>81</v>
      </c>
      <c r="E36" s="249"/>
      <c r="F36" s="223">
        <v>0.5</v>
      </c>
      <c r="G36" s="224">
        <v>40000</v>
      </c>
      <c r="H36" s="225">
        <f t="shared" si="26"/>
        <v>20000</v>
      </c>
      <c r="I36" s="226"/>
      <c r="J36" s="223">
        <v>0.5</v>
      </c>
      <c r="K36" s="224">
        <f t="shared" si="25"/>
        <v>41200</v>
      </c>
      <c r="L36" s="225">
        <f t="shared" si="27"/>
        <v>20600</v>
      </c>
      <c r="M36" s="246"/>
      <c r="N36" s="223">
        <v>1</v>
      </c>
      <c r="O36" s="224">
        <f t="shared" si="21"/>
        <v>42436</v>
      </c>
      <c r="P36" s="225">
        <f t="shared" si="28"/>
        <v>42436</v>
      </c>
      <c r="Q36" s="246"/>
      <c r="R36" s="223">
        <v>1</v>
      </c>
      <c r="S36" s="224">
        <f t="shared" si="22"/>
        <v>43709.08</v>
      </c>
      <c r="T36" s="225">
        <f t="shared" si="29"/>
        <v>43709.08</v>
      </c>
      <c r="U36" s="246"/>
      <c r="V36" s="223">
        <v>1</v>
      </c>
      <c r="W36" s="224">
        <f t="shared" si="23"/>
        <v>45020.352400000003</v>
      </c>
      <c r="X36" s="225">
        <f t="shared" si="30"/>
        <v>45020.352400000003</v>
      </c>
      <c r="Y36" s="246"/>
      <c r="Z36" s="223">
        <v>1.5</v>
      </c>
      <c r="AA36" s="224">
        <f t="shared" si="24"/>
        <v>46370.962972000001</v>
      </c>
      <c r="AB36" s="225">
        <f t="shared" si="31"/>
        <v>69556.444457999998</v>
      </c>
      <c r="AC36" s="247"/>
      <c r="AD36" s="195"/>
    </row>
    <row r="37" spans="2:35" ht="15" customHeight="1">
      <c r="B37" s="190"/>
      <c r="C37" s="203"/>
      <c r="D37" s="248"/>
      <c r="E37" s="249"/>
      <c r="F37" s="223"/>
      <c r="G37" s="224">
        <v>0</v>
      </c>
      <c r="H37" s="225">
        <f t="shared" si="26"/>
        <v>0</v>
      </c>
      <c r="I37" s="226"/>
      <c r="J37" s="223"/>
      <c r="K37" s="224">
        <f t="shared" si="25"/>
        <v>0</v>
      </c>
      <c r="L37" s="225">
        <f t="shared" si="27"/>
        <v>0</v>
      </c>
      <c r="M37" s="246"/>
      <c r="N37" s="223"/>
      <c r="O37" s="224">
        <f t="shared" si="21"/>
        <v>0</v>
      </c>
      <c r="P37" s="225">
        <f t="shared" si="28"/>
        <v>0</v>
      </c>
      <c r="Q37" s="246"/>
      <c r="R37" s="223"/>
      <c r="S37" s="224">
        <f t="shared" si="22"/>
        <v>0</v>
      </c>
      <c r="T37" s="225">
        <f t="shared" si="29"/>
        <v>0</v>
      </c>
      <c r="U37" s="246"/>
      <c r="V37" s="223"/>
      <c r="W37" s="224">
        <f t="shared" si="23"/>
        <v>0</v>
      </c>
      <c r="X37" s="225">
        <f t="shared" si="30"/>
        <v>0</v>
      </c>
      <c r="Y37" s="246"/>
      <c r="Z37" s="223"/>
      <c r="AA37" s="224">
        <f t="shared" si="24"/>
        <v>0</v>
      </c>
      <c r="AB37" s="225">
        <f t="shared" si="31"/>
        <v>0</v>
      </c>
      <c r="AC37" s="247"/>
      <c r="AD37" s="195"/>
    </row>
    <row r="38" spans="2:35" ht="15" customHeight="1">
      <c r="B38" s="190"/>
      <c r="C38" s="203"/>
      <c r="D38" s="248" t="s">
        <v>82</v>
      </c>
      <c r="E38" s="249"/>
      <c r="F38" s="223"/>
      <c r="G38" s="224">
        <v>0</v>
      </c>
      <c r="H38" s="225">
        <f t="shared" si="26"/>
        <v>0</v>
      </c>
      <c r="I38" s="226"/>
      <c r="J38" s="223">
        <v>1</v>
      </c>
      <c r="K38" s="224">
        <f t="shared" si="25"/>
        <v>0</v>
      </c>
      <c r="L38" s="225">
        <f t="shared" si="27"/>
        <v>0</v>
      </c>
      <c r="M38" s="246"/>
      <c r="N38" s="223">
        <v>1</v>
      </c>
      <c r="O38" s="224">
        <f t="shared" si="21"/>
        <v>0</v>
      </c>
      <c r="P38" s="225">
        <f t="shared" si="28"/>
        <v>0</v>
      </c>
      <c r="Q38" s="246"/>
      <c r="R38" s="223">
        <v>1</v>
      </c>
      <c r="S38" s="224">
        <f t="shared" si="22"/>
        <v>0</v>
      </c>
      <c r="T38" s="225">
        <f t="shared" si="29"/>
        <v>0</v>
      </c>
      <c r="U38" s="246"/>
      <c r="V38" s="223">
        <v>2</v>
      </c>
      <c r="W38" s="224">
        <f t="shared" si="23"/>
        <v>0</v>
      </c>
      <c r="X38" s="225">
        <f t="shared" si="30"/>
        <v>0</v>
      </c>
      <c r="Y38" s="246"/>
      <c r="Z38" s="223">
        <v>2</v>
      </c>
      <c r="AA38" s="224">
        <f t="shared" si="24"/>
        <v>0</v>
      </c>
      <c r="AB38" s="225">
        <f t="shared" si="31"/>
        <v>0</v>
      </c>
      <c r="AC38" s="247"/>
      <c r="AD38" s="195"/>
    </row>
    <row r="39" spans="2:35" ht="15" customHeight="1">
      <c r="B39" s="190"/>
      <c r="C39" s="203"/>
      <c r="D39" s="248"/>
      <c r="E39" s="249"/>
      <c r="F39" s="223"/>
      <c r="G39" s="224">
        <v>0</v>
      </c>
      <c r="H39" s="225">
        <f t="shared" si="26"/>
        <v>0</v>
      </c>
      <c r="I39" s="226"/>
      <c r="J39" s="223"/>
      <c r="K39" s="224">
        <f t="shared" si="25"/>
        <v>0</v>
      </c>
      <c r="L39" s="225">
        <f t="shared" si="27"/>
        <v>0</v>
      </c>
      <c r="M39" s="246"/>
      <c r="N39" s="223"/>
      <c r="O39" s="224">
        <f t="shared" si="21"/>
        <v>0</v>
      </c>
      <c r="P39" s="225">
        <f t="shared" si="28"/>
        <v>0</v>
      </c>
      <c r="Q39" s="246"/>
      <c r="R39" s="223"/>
      <c r="S39" s="224">
        <f t="shared" si="22"/>
        <v>0</v>
      </c>
      <c r="T39" s="225">
        <f t="shared" si="29"/>
        <v>0</v>
      </c>
      <c r="U39" s="246"/>
      <c r="V39" s="223"/>
      <c r="W39" s="224">
        <f t="shared" si="23"/>
        <v>0</v>
      </c>
      <c r="X39" s="225">
        <f t="shared" si="30"/>
        <v>0</v>
      </c>
      <c r="Y39" s="246"/>
      <c r="Z39" s="223"/>
      <c r="AA39" s="224">
        <f t="shared" si="24"/>
        <v>0</v>
      </c>
      <c r="AB39" s="225">
        <f t="shared" si="31"/>
        <v>0</v>
      </c>
      <c r="AC39" s="247"/>
      <c r="AD39" s="195"/>
    </row>
    <row r="40" spans="2:35" ht="15" customHeight="1">
      <c r="B40" s="190"/>
      <c r="C40" s="203"/>
      <c r="D40" s="248" t="s">
        <v>83</v>
      </c>
      <c r="E40" s="249"/>
      <c r="F40" s="223"/>
      <c r="G40" s="224">
        <v>0</v>
      </c>
      <c r="H40" s="225">
        <f t="shared" si="26"/>
        <v>0</v>
      </c>
      <c r="I40" s="226"/>
      <c r="J40" s="223"/>
      <c r="K40" s="224">
        <f t="shared" si="25"/>
        <v>0</v>
      </c>
      <c r="L40" s="225">
        <f t="shared" si="27"/>
        <v>0</v>
      </c>
      <c r="M40" s="246"/>
      <c r="N40" s="223"/>
      <c r="O40" s="224">
        <f t="shared" si="21"/>
        <v>0</v>
      </c>
      <c r="P40" s="225">
        <f t="shared" si="28"/>
        <v>0</v>
      </c>
      <c r="Q40" s="246"/>
      <c r="R40" s="223">
        <v>1</v>
      </c>
      <c r="S40" s="224">
        <v>65000</v>
      </c>
      <c r="T40" s="225">
        <f t="shared" si="29"/>
        <v>65000</v>
      </c>
      <c r="U40" s="246"/>
      <c r="V40" s="223">
        <v>1</v>
      </c>
      <c r="W40" s="224">
        <f t="shared" si="23"/>
        <v>66950</v>
      </c>
      <c r="X40" s="225">
        <f t="shared" si="30"/>
        <v>66950</v>
      </c>
      <c r="Y40" s="246"/>
      <c r="Z40" s="223">
        <v>1</v>
      </c>
      <c r="AA40" s="224">
        <f t="shared" si="24"/>
        <v>68958.5</v>
      </c>
      <c r="AB40" s="225">
        <f t="shared" si="31"/>
        <v>68958.5</v>
      </c>
      <c r="AC40" s="247"/>
      <c r="AD40" s="195"/>
    </row>
    <row r="41" spans="2:35" ht="15" customHeight="1">
      <c r="B41" s="190"/>
      <c r="C41" s="203"/>
      <c r="D41" s="228"/>
      <c r="E41" s="191"/>
      <c r="F41" s="223"/>
      <c r="G41" s="224">
        <v>0</v>
      </c>
      <c r="H41" s="225">
        <f t="shared" si="15"/>
        <v>0</v>
      </c>
      <c r="I41" s="226"/>
      <c r="J41" s="223"/>
      <c r="K41" s="224">
        <f t="shared" si="25"/>
        <v>0</v>
      </c>
      <c r="L41" s="225">
        <f t="shared" si="16"/>
        <v>0</v>
      </c>
      <c r="M41" s="246"/>
      <c r="N41" s="223"/>
      <c r="O41" s="224">
        <f t="shared" si="21"/>
        <v>0</v>
      </c>
      <c r="P41" s="225">
        <f t="shared" si="17"/>
        <v>0</v>
      </c>
      <c r="Q41" s="246"/>
      <c r="R41" s="223"/>
      <c r="S41" s="224">
        <f t="shared" si="22"/>
        <v>0</v>
      </c>
      <c r="T41" s="225">
        <f t="shared" si="18"/>
        <v>0</v>
      </c>
      <c r="U41" s="246"/>
      <c r="V41" s="223"/>
      <c r="W41" s="224">
        <f t="shared" si="23"/>
        <v>0</v>
      </c>
      <c r="X41" s="225">
        <f t="shared" si="19"/>
        <v>0</v>
      </c>
      <c r="Y41" s="246"/>
      <c r="Z41" s="223"/>
      <c r="AA41" s="224">
        <f t="shared" si="24"/>
        <v>0</v>
      </c>
      <c r="AB41" s="225">
        <f t="shared" si="20"/>
        <v>0</v>
      </c>
      <c r="AC41" s="247"/>
      <c r="AD41" s="195"/>
    </row>
    <row r="42" spans="2:35" ht="15" customHeight="1">
      <c r="B42" s="190"/>
      <c r="C42" s="203"/>
      <c r="D42" s="228" t="s">
        <v>84</v>
      </c>
      <c r="E42" s="191"/>
      <c r="F42" s="223"/>
      <c r="G42" s="224">
        <v>0</v>
      </c>
      <c r="H42" s="225">
        <f t="shared" si="15"/>
        <v>0</v>
      </c>
      <c r="I42" s="226"/>
      <c r="J42" s="223">
        <v>1.5</v>
      </c>
      <c r="K42" s="224">
        <v>60000</v>
      </c>
      <c r="L42" s="225">
        <f t="shared" si="16"/>
        <v>90000</v>
      </c>
      <c r="M42" s="246"/>
      <c r="N42" s="223">
        <v>2</v>
      </c>
      <c r="O42" s="224">
        <f t="shared" si="21"/>
        <v>61800</v>
      </c>
      <c r="P42" s="225">
        <f t="shared" si="17"/>
        <v>123600</v>
      </c>
      <c r="Q42" s="246"/>
      <c r="R42" s="223">
        <v>2</v>
      </c>
      <c r="S42" s="224">
        <f t="shared" si="22"/>
        <v>63654</v>
      </c>
      <c r="T42" s="225">
        <f t="shared" si="18"/>
        <v>127308</v>
      </c>
      <c r="U42" s="246"/>
      <c r="V42" s="223">
        <v>2</v>
      </c>
      <c r="W42" s="224">
        <f t="shared" si="23"/>
        <v>65563.62</v>
      </c>
      <c r="X42" s="225">
        <f t="shared" si="19"/>
        <v>131127.24</v>
      </c>
      <c r="Y42" s="246"/>
      <c r="Z42" s="223">
        <v>2</v>
      </c>
      <c r="AA42" s="224">
        <f t="shared" si="24"/>
        <v>67530.528599999991</v>
      </c>
      <c r="AB42" s="225">
        <f t="shared" si="20"/>
        <v>135061.05719999998</v>
      </c>
      <c r="AC42" s="247"/>
      <c r="AD42" s="195"/>
    </row>
    <row r="43" spans="2:35" ht="15" customHeight="1">
      <c r="B43" s="190"/>
      <c r="C43" s="203"/>
      <c r="D43" s="228"/>
      <c r="E43" s="191"/>
      <c r="F43" s="223"/>
      <c r="G43" s="224">
        <v>0</v>
      </c>
      <c r="H43" s="225">
        <f t="shared" si="15"/>
        <v>0</v>
      </c>
      <c r="I43" s="226"/>
      <c r="J43" s="223"/>
      <c r="K43" s="224">
        <f t="shared" si="25"/>
        <v>0</v>
      </c>
      <c r="L43" s="225">
        <f t="shared" si="16"/>
        <v>0</v>
      </c>
      <c r="M43" s="246"/>
      <c r="N43" s="223"/>
      <c r="O43" s="224">
        <f t="shared" si="21"/>
        <v>0</v>
      </c>
      <c r="P43" s="225">
        <f t="shared" si="17"/>
        <v>0</v>
      </c>
      <c r="Q43" s="246"/>
      <c r="R43" s="223"/>
      <c r="S43" s="224">
        <f t="shared" si="22"/>
        <v>0</v>
      </c>
      <c r="T43" s="225">
        <f t="shared" si="18"/>
        <v>0</v>
      </c>
      <c r="U43" s="246"/>
      <c r="V43" s="223"/>
      <c r="W43" s="224">
        <f t="shared" si="23"/>
        <v>0</v>
      </c>
      <c r="X43" s="225">
        <f t="shared" si="19"/>
        <v>0</v>
      </c>
      <c r="Y43" s="246"/>
      <c r="Z43" s="223"/>
      <c r="AA43" s="224">
        <f t="shared" si="24"/>
        <v>0</v>
      </c>
      <c r="AB43" s="225">
        <f t="shared" si="20"/>
        <v>0</v>
      </c>
      <c r="AC43" s="247"/>
      <c r="AD43" s="195"/>
    </row>
    <row r="44" spans="2:35" ht="15" customHeight="1">
      <c r="B44" s="190"/>
      <c r="C44" s="203"/>
      <c r="D44" s="228"/>
      <c r="E44" s="191"/>
      <c r="F44" s="223"/>
      <c r="G44" s="224">
        <v>0</v>
      </c>
      <c r="H44" s="225">
        <f t="shared" si="15"/>
        <v>0</v>
      </c>
      <c r="I44" s="226"/>
      <c r="J44" s="223"/>
      <c r="K44" s="224">
        <f t="shared" si="25"/>
        <v>0</v>
      </c>
      <c r="L44" s="225">
        <f t="shared" si="16"/>
        <v>0</v>
      </c>
      <c r="M44" s="246"/>
      <c r="N44" s="223"/>
      <c r="O44" s="224">
        <f t="shared" si="21"/>
        <v>0</v>
      </c>
      <c r="P44" s="225">
        <f t="shared" si="17"/>
        <v>0</v>
      </c>
      <c r="Q44" s="246"/>
      <c r="R44" s="223"/>
      <c r="S44" s="224">
        <f t="shared" si="22"/>
        <v>0</v>
      </c>
      <c r="T44" s="225">
        <f t="shared" si="18"/>
        <v>0</v>
      </c>
      <c r="U44" s="246"/>
      <c r="V44" s="223"/>
      <c r="W44" s="224">
        <f t="shared" si="23"/>
        <v>0</v>
      </c>
      <c r="X44" s="225">
        <f t="shared" si="19"/>
        <v>0</v>
      </c>
      <c r="Y44" s="246"/>
      <c r="Z44" s="223"/>
      <c r="AA44" s="224">
        <f t="shared" si="24"/>
        <v>0</v>
      </c>
      <c r="AB44" s="225">
        <f t="shared" si="20"/>
        <v>0</v>
      </c>
      <c r="AC44" s="247"/>
      <c r="AD44" s="195"/>
    </row>
    <row r="45" spans="2:35" ht="15" customHeight="1">
      <c r="B45" s="190"/>
      <c r="C45" s="203"/>
      <c r="D45" s="228"/>
      <c r="E45" s="191"/>
      <c r="F45" s="223"/>
      <c r="G45" s="224">
        <v>0</v>
      </c>
      <c r="H45" s="225">
        <f t="shared" si="15"/>
        <v>0</v>
      </c>
      <c r="I45" s="226"/>
      <c r="J45" s="223"/>
      <c r="K45" s="224">
        <f t="shared" si="25"/>
        <v>0</v>
      </c>
      <c r="L45" s="225">
        <f t="shared" si="16"/>
        <v>0</v>
      </c>
      <c r="M45" s="246"/>
      <c r="N45" s="223"/>
      <c r="O45" s="224">
        <f t="shared" si="21"/>
        <v>0</v>
      </c>
      <c r="P45" s="225">
        <f t="shared" si="17"/>
        <v>0</v>
      </c>
      <c r="Q45" s="246"/>
      <c r="R45" s="223"/>
      <c r="S45" s="224">
        <f t="shared" si="22"/>
        <v>0</v>
      </c>
      <c r="T45" s="225">
        <f t="shared" si="18"/>
        <v>0</v>
      </c>
      <c r="U45" s="246"/>
      <c r="V45" s="223"/>
      <c r="W45" s="224">
        <f t="shared" si="23"/>
        <v>0</v>
      </c>
      <c r="X45" s="225">
        <f t="shared" si="19"/>
        <v>0</v>
      </c>
      <c r="Y45" s="246"/>
      <c r="Z45" s="223"/>
      <c r="AA45" s="224">
        <f t="shared" si="24"/>
        <v>0</v>
      </c>
      <c r="AB45" s="225">
        <f t="shared" si="20"/>
        <v>0</v>
      </c>
      <c r="AC45" s="247"/>
      <c r="AD45" s="195"/>
    </row>
    <row r="46" spans="2:35" ht="15" customHeight="1">
      <c r="B46" s="190"/>
      <c r="C46" s="203"/>
      <c r="D46" s="231" t="s">
        <v>85</v>
      </c>
      <c r="E46" s="192"/>
      <c r="F46" s="232">
        <f>SUM(F31:F45)</f>
        <v>1.5</v>
      </c>
      <c r="G46" s="233"/>
      <c r="H46" s="234">
        <f>SUM(H31:H45)</f>
        <v>85000</v>
      </c>
      <c r="I46" s="235"/>
      <c r="J46" s="232">
        <f>SUM(J31:J45)</f>
        <v>5.5</v>
      </c>
      <c r="K46" s="233"/>
      <c r="L46" s="234">
        <f>SUM(L31:L45)</f>
        <v>293900</v>
      </c>
      <c r="M46" s="250"/>
      <c r="N46" s="232">
        <f>SUM(N31:N45)</f>
        <v>7</v>
      </c>
      <c r="O46" s="233"/>
      <c r="P46" s="234">
        <f>SUM(P31:P45)</f>
        <v>376053</v>
      </c>
      <c r="Q46" s="250"/>
      <c r="R46" s="232">
        <f>SUM(R31:R45)</f>
        <v>8</v>
      </c>
      <c r="S46" s="233"/>
      <c r="T46" s="234">
        <f>SUM(T31:T45)</f>
        <v>452334.59</v>
      </c>
      <c r="U46" s="250"/>
      <c r="V46" s="232">
        <f>SUM(V31:V45)</f>
        <v>9</v>
      </c>
      <c r="W46" s="233"/>
      <c r="X46" s="234">
        <f>SUM(X31:X45)</f>
        <v>465904.62770000001</v>
      </c>
      <c r="Y46" s="250"/>
      <c r="Z46" s="232">
        <f>SUM(Z31:Z45)</f>
        <v>10</v>
      </c>
      <c r="AA46" s="233"/>
      <c r="AB46" s="234">
        <f>SUM(AB31:AB45)</f>
        <v>526252.72950300004</v>
      </c>
      <c r="AC46" s="247"/>
      <c r="AD46" s="195"/>
    </row>
    <row r="47" spans="2:35" ht="15" customHeight="1">
      <c r="B47" s="190"/>
      <c r="C47" s="203"/>
      <c r="D47" s="251"/>
      <c r="E47" s="192"/>
      <c r="F47" s="252"/>
      <c r="G47" s="253"/>
      <c r="H47" s="254"/>
      <c r="I47" s="235"/>
      <c r="J47" s="252"/>
      <c r="K47" s="255"/>
      <c r="L47" s="256"/>
      <c r="M47" s="250"/>
      <c r="N47" s="252"/>
      <c r="O47" s="255"/>
      <c r="P47" s="256"/>
      <c r="Q47" s="250"/>
      <c r="R47" s="252"/>
      <c r="S47" s="255"/>
      <c r="T47" s="256"/>
      <c r="U47" s="250"/>
      <c r="V47" s="252"/>
      <c r="W47" s="255"/>
      <c r="X47" s="256"/>
      <c r="Y47" s="250"/>
      <c r="Z47" s="252"/>
      <c r="AA47" s="226"/>
      <c r="AB47" s="257"/>
      <c r="AC47" s="247"/>
      <c r="AD47" s="195"/>
    </row>
    <row r="48" spans="2:35" ht="43.5" customHeight="1">
      <c r="B48" s="190"/>
      <c r="C48" s="203"/>
      <c r="D48" s="258"/>
      <c r="E48" s="204"/>
      <c r="F48" s="259"/>
      <c r="G48" s="209" t="s">
        <v>86</v>
      </c>
      <c r="H48" s="210" t="s">
        <v>64</v>
      </c>
      <c r="I48" s="211"/>
      <c r="J48" s="259"/>
      <c r="K48" s="209" t="s">
        <v>86</v>
      </c>
      <c r="L48" s="210" t="s">
        <v>64</v>
      </c>
      <c r="M48" s="211"/>
      <c r="N48" s="259"/>
      <c r="O48" s="209" t="s">
        <v>86</v>
      </c>
      <c r="P48" s="210" t="s">
        <v>64</v>
      </c>
      <c r="Q48" s="211"/>
      <c r="R48" s="259"/>
      <c r="S48" s="260" t="s">
        <v>86</v>
      </c>
      <c r="T48" s="210" t="s">
        <v>64</v>
      </c>
      <c r="U48" s="211"/>
      <c r="V48" s="259"/>
      <c r="W48" s="209" t="s">
        <v>86</v>
      </c>
      <c r="X48" s="210" t="s">
        <v>64</v>
      </c>
      <c r="Y48" s="211"/>
      <c r="Z48" s="259"/>
      <c r="AA48" s="210" t="s">
        <v>86</v>
      </c>
      <c r="AB48" s="210" t="s">
        <v>64</v>
      </c>
      <c r="AC48" s="205"/>
      <c r="AD48" s="206"/>
      <c r="AE48" s="207"/>
      <c r="AF48" s="207"/>
      <c r="AG48" s="207"/>
      <c r="AH48" s="207"/>
      <c r="AI48" s="207"/>
    </row>
    <row r="49" spans="2:35" ht="15" customHeight="1">
      <c r="B49" s="190"/>
      <c r="C49" s="203"/>
      <c r="D49" s="212" t="s">
        <v>87</v>
      </c>
      <c r="E49" s="213"/>
      <c r="F49" s="261"/>
      <c r="G49" s="262"/>
      <c r="H49" s="263"/>
      <c r="I49" s="264"/>
      <c r="J49" s="265"/>
      <c r="K49" s="266"/>
      <c r="L49" s="267"/>
      <c r="M49" s="16"/>
      <c r="N49" s="265"/>
      <c r="O49" s="266"/>
      <c r="P49" s="267"/>
      <c r="Q49" s="16"/>
      <c r="R49" s="265"/>
      <c r="S49" s="266"/>
      <c r="T49" s="267"/>
      <c r="U49" s="16"/>
      <c r="V49" s="265"/>
      <c r="W49" s="266"/>
      <c r="X49" s="267"/>
      <c r="Y49" s="16"/>
      <c r="Z49" s="265"/>
      <c r="AA49" s="16"/>
      <c r="AB49" s="268"/>
      <c r="AC49" s="247"/>
      <c r="AD49" s="195"/>
    </row>
    <row r="50" spans="2:35" ht="15" customHeight="1">
      <c r="B50" s="190"/>
      <c r="C50" s="203"/>
      <c r="D50" s="269" t="s">
        <v>88</v>
      </c>
      <c r="E50" s="191"/>
      <c r="F50" s="270"/>
      <c r="G50" s="271">
        <v>3600</v>
      </c>
      <c r="H50" s="225">
        <f>G50*($F$28+$F$46)</f>
        <v>5400</v>
      </c>
      <c r="I50" s="226"/>
      <c r="J50" s="272"/>
      <c r="K50" s="271">
        <f>G50</f>
        <v>3600</v>
      </c>
      <c r="L50" s="225">
        <f>K50*($J$28+$J$46)</f>
        <v>52200</v>
      </c>
      <c r="M50" s="226"/>
      <c r="N50" s="272"/>
      <c r="O50" s="271">
        <f>K50*1.02</f>
        <v>3672</v>
      </c>
      <c r="P50" s="225">
        <f>O50*($N$28+$N$46)</f>
        <v>73440</v>
      </c>
      <c r="Q50" s="226"/>
      <c r="R50" s="272"/>
      <c r="S50" s="271">
        <v>3745</v>
      </c>
      <c r="T50" s="225">
        <f>S50*($R$28+$R$46)</f>
        <v>86135</v>
      </c>
      <c r="U50" s="226"/>
      <c r="V50" s="272"/>
      <c r="W50" s="271">
        <v>3820</v>
      </c>
      <c r="X50" s="225">
        <f>W50*($V$28+$V$46)</f>
        <v>91680</v>
      </c>
      <c r="Y50" s="226"/>
      <c r="Z50" s="272"/>
      <c r="AA50" s="271">
        <v>3896</v>
      </c>
      <c r="AB50" s="225">
        <f>AA50*($Z$28+$Z$46)</f>
        <v>101296</v>
      </c>
      <c r="AC50" s="247"/>
      <c r="AD50" s="195"/>
    </row>
    <row r="51" spans="2:35" ht="15" customHeight="1">
      <c r="B51" s="190"/>
      <c r="C51" s="203"/>
      <c r="D51" s="273" t="s">
        <v>89</v>
      </c>
      <c r="E51" s="191"/>
      <c r="F51" s="270"/>
      <c r="G51" s="271">
        <v>6600</v>
      </c>
      <c r="H51" s="225">
        <f>G51*($F$28+$F$46)</f>
        <v>9900</v>
      </c>
      <c r="I51" s="226"/>
      <c r="J51" s="272"/>
      <c r="K51" s="271">
        <f>G51</f>
        <v>6600</v>
      </c>
      <c r="L51" s="225">
        <f>K51*($J$28+$J$46)</f>
        <v>95700</v>
      </c>
      <c r="M51" s="226"/>
      <c r="N51" s="272"/>
      <c r="O51" s="271">
        <f>K51</f>
        <v>6600</v>
      </c>
      <c r="P51" s="225">
        <f>O51*($N$28+$N$46)</f>
        <v>132000</v>
      </c>
      <c r="Q51" s="226"/>
      <c r="R51" s="272"/>
      <c r="S51" s="271">
        <f>O51</f>
        <v>6600</v>
      </c>
      <c r="T51" s="225">
        <f>S51*($R$28+$R$46)</f>
        <v>151800</v>
      </c>
      <c r="U51" s="226"/>
      <c r="V51" s="272"/>
      <c r="W51" s="271">
        <f>S51</f>
        <v>6600</v>
      </c>
      <c r="X51" s="225">
        <f>W51*($V$28+$V$46)</f>
        <v>158400</v>
      </c>
      <c r="Y51" s="226"/>
      <c r="Z51" s="272"/>
      <c r="AA51" s="271">
        <f>W51</f>
        <v>6600</v>
      </c>
      <c r="AB51" s="225">
        <f>AA51*($Z$28+$Z$46)</f>
        <v>171600</v>
      </c>
      <c r="AC51" s="247"/>
      <c r="AD51" s="195"/>
    </row>
    <row r="52" spans="2:35" ht="15" customHeight="1">
      <c r="B52" s="190"/>
      <c r="C52" s="203"/>
      <c r="D52" s="273" t="s">
        <v>90</v>
      </c>
      <c r="E52" s="191"/>
      <c r="F52" s="270"/>
      <c r="G52" s="274">
        <v>6.2E-2</v>
      </c>
      <c r="H52" s="225">
        <f>G52*($H$28+$H$46)</f>
        <v>5270</v>
      </c>
      <c r="I52" s="226"/>
      <c r="J52" s="272"/>
      <c r="K52" s="274">
        <v>6.2E-2</v>
      </c>
      <c r="L52" s="225">
        <f>K52*($L$28+$L$46)</f>
        <v>36201.800000000003</v>
      </c>
      <c r="M52" s="226"/>
      <c r="N52" s="272"/>
      <c r="O52" s="274">
        <v>6.2E-2</v>
      </c>
      <c r="P52" s="225">
        <f>O52*($P$28+$P$46)</f>
        <v>52818.606</v>
      </c>
      <c r="Q52" s="226"/>
      <c r="R52" s="272"/>
      <c r="S52" s="275">
        <v>6.2E-2</v>
      </c>
      <c r="T52" s="225">
        <f>S52*($T$28+$T$46)</f>
        <v>59495.100180000001</v>
      </c>
      <c r="U52" s="226"/>
      <c r="V52" s="272"/>
      <c r="W52" s="274">
        <v>6.2E-2</v>
      </c>
      <c r="X52" s="225">
        <f>W52*($X$28+$X$46)</f>
        <v>61279.953185400002</v>
      </c>
      <c r="Y52" s="226"/>
      <c r="Z52" s="272"/>
      <c r="AA52" s="274">
        <v>6.2E-2</v>
      </c>
      <c r="AB52" s="225">
        <f>AA52*($AB$28+$AB$46)</f>
        <v>66691.166947425998</v>
      </c>
      <c r="AC52" s="247"/>
      <c r="AD52" s="195"/>
    </row>
    <row r="53" spans="2:35" ht="15" customHeight="1">
      <c r="B53" s="190"/>
      <c r="C53" s="203"/>
      <c r="D53" s="273" t="s">
        <v>91</v>
      </c>
      <c r="E53" s="191"/>
      <c r="F53" s="270"/>
      <c r="G53" s="276">
        <v>1.4500000000000001E-2</v>
      </c>
      <c r="H53" s="225">
        <f>G53*($H$28+$H$46)</f>
        <v>1232.5</v>
      </c>
      <c r="I53" s="226"/>
      <c r="J53" s="272"/>
      <c r="K53" s="276">
        <v>1.4500000000000001E-2</v>
      </c>
      <c r="L53" s="225">
        <f>K53*($L$28+$L$46)</f>
        <v>8466.5500000000011</v>
      </c>
      <c r="M53" s="226"/>
      <c r="N53" s="272"/>
      <c r="O53" s="276">
        <v>1.4500000000000001E-2</v>
      </c>
      <c r="P53" s="225">
        <f>O53*($P$28+$P$46)</f>
        <v>12352.738500000001</v>
      </c>
      <c r="Q53" s="226"/>
      <c r="R53" s="272"/>
      <c r="S53" s="277">
        <v>1.4500000000000001E-2</v>
      </c>
      <c r="T53" s="225">
        <f>S53*($T$28+$T$46)</f>
        <v>13914.176655000001</v>
      </c>
      <c r="U53" s="226"/>
      <c r="V53" s="272"/>
      <c r="W53" s="276">
        <v>1.4500000000000001E-2</v>
      </c>
      <c r="X53" s="225">
        <f>W53*($X$28+$X$46)</f>
        <v>14331.601954650001</v>
      </c>
      <c r="Y53" s="226"/>
      <c r="Z53" s="272"/>
      <c r="AA53" s="276">
        <v>1.4500000000000001E-2</v>
      </c>
      <c r="AB53" s="225">
        <f>AA53*($AB$28+$AB$46)</f>
        <v>15597.1277538335</v>
      </c>
      <c r="AC53" s="247"/>
      <c r="AD53" s="195"/>
    </row>
    <row r="54" spans="2:35" ht="15" customHeight="1">
      <c r="B54" s="190"/>
      <c r="C54" s="203"/>
      <c r="D54" s="273" t="s">
        <v>92</v>
      </c>
      <c r="E54" s="191"/>
      <c r="F54" s="270"/>
      <c r="G54" s="274">
        <v>2.5000000000000001E-2</v>
      </c>
      <c r="H54" s="225">
        <f>G54*($H$28+$H$46)</f>
        <v>2125</v>
      </c>
      <c r="I54" s="226"/>
      <c r="J54" s="272"/>
      <c r="K54" s="274">
        <v>2.5000000000000001E-2</v>
      </c>
      <c r="L54" s="225">
        <f>K54*($L$28+$L$46)</f>
        <v>14597.5</v>
      </c>
      <c r="M54" s="226"/>
      <c r="N54" s="272"/>
      <c r="O54" s="274">
        <v>2.5000000000000001E-2</v>
      </c>
      <c r="P54" s="225">
        <f>O54*($P$28+$P$46)</f>
        <v>21297.825000000001</v>
      </c>
      <c r="Q54" s="226"/>
      <c r="R54" s="272"/>
      <c r="S54" s="275">
        <v>2.5000000000000001E-2</v>
      </c>
      <c r="T54" s="225">
        <f>S54*($T$28+$T$46)</f>
        <v>23989.959750000002</v>
      </c>
      <c r="U54" s="226"/>
      <c r="V54" s="272"/>
      <c r="W54" s="274">
        <v>2.5000000000000001E-2</v>
      </c>
      <c r="X54" s="225">
        <f>W54*($X$28+$X$46)</f>
        <v>24709.658542500001</v>
      </c>
      <c r="Y54" s="226"/>
      <c r="Z54" s="272"/>
      <c r="AA54" s="274">
        <v>2.5000000000000001E-2</v>
      </c>
      <c r="AB54" s="225">
        <f>AA54*($AB$28+$AB$46)</f>
        <v>26891.599575575001</v>
      </c>
      <c r="AC54" s="247"/>
      <c r="AD54" s="195"/>
    </row>
    <row r="55" spans="2:35" ht="15" customHeight="1">
      <c r="B55" s="190"/>
      <c r="C55" s="203"/>
      <c r="D55" s="273"/>
      <c r="E55" s="191"/>
      <c r="F55" s="261"/>
      <c r="G55" s="467"/>
      <c r="H55" s="465"/>
      <c r="I55" s="226"/>
      <c r="J55" s="265"/>
      <c r="K55" s="467"/>
      <c r="L55" s="465"/>
      <c r="M55" s="226"/>
      <c r="N55" s="265"/>
      <c r="O55" s="467"/>
      <c r="P55" s="465"/>
      <c r="Q55" s="226"/>
      <c r="R55" s="265"/>
      <c r="S55" s="467"/>
      <c r="T55" s="465"/>
      <c r="U55" s="226"/>
      <c r="V55" s="265"/>
      <c r="W55" s="467"/>
      <c r="X55" s="465"/>
      <c r="Y55" s="226"/>
      <c r="Z55" s="265"/>
      <c r="AA55" s="467"/>
      <c r="AB55" s="465"/>
      <c r="AC55" s="247"/>
      <c r="AD55" s="195"/>
    </row>
    <row r="56" spans="2:35" ht="15" customHeight="1">
      <c r="B56" s="190"/>
      <c r="C56" s="203"/>
      <c r="D56" s="273" t="s">
        <v>93</v>
      </c>
      <c r="E56" s="191"/>
      <c r="F56" s="466"/>
      <c r="G56" s="469"/>
      <c r="H56" s="271">
        <v>0</v>
      </c>
      <c r="I56" s="226"/>
      <c r="J56" s="468"/>
      <c r="K56" s="469"/>
      <c r="L56" s="271">
        <v>0</v>
      </c>
      <c r="M56" s="226"/>
      <c r="N56" s="468"/>
      <c r="O56" s="469"/>
      <c r="P56" s="271">
        <v>0</v>
      </c>
      <c r="Q56" s="226"/>
      <c r="R56" s="468"/>
      <c r="S56" s="469"/>
      <c r="T56" s="271">
        <v>0</v>
      </c>
      <c r="U56" s="226"/>
      <c r="V56" s="468"/>
      <c r="W56" s="469"/>
      <c r="X56" s="271">
        <v>0</v>
      </c>
      <c r="Y56" s="226"/>
      <c r="Z56" s="468"/>
      <c r="AA56" s="469"/>
      <c r="AB56" s="271">
        <v>0</v>
      </c>
      <c r="AC56" s="247"/>
      <c r="AD56" s="195"/>
    </row>
    <row r="57" spans="2:35" ht="15" customHeight="1">
      <c r="B57" s="190"/>
      <c r="C57" s="278"/>
      <c r="D57" s="279"/>
      <c r="E57" s="280"/>
      <c r="F57" s="281"/>
      <c r="G57" s="282"/>
      <c r="H57" s="283"/>
      <c r="I57" s="253"/>
      <c r="J57" s="284"/>
      <c r="K57" s="282"/>
      <c r="L57" s="283"/>
      <c r="M57" s="253"/>
      <c r="N57" s="284"/>
      <c r="O57" s="282"/>
      <c r="P57" s="283"/>
      <c r="Q57" s="253"/>
      <c r="R57" s="284"/>
      <c r="S57" s="282"/>
      <c r="T57" s="283"/>
      <c r="U57" s="253"/>
      <c r="V57" s="284"/>
      <c r="W57" s="282"/>
      <c r="X57" s="283"/>
      <c r="Y57" s="253"/>
      <c r="Z57" s="284"/>
      <c r="AA57" s="282"/>
      <c r="AB57" s="283"/>
      <c r="AC57" s="285"/>
      <c r="AD57" s="195"/>
      <c r="AE57" s="286"/>
    </row>
    <row r="58" spans="2:35" ht="15" customHeight="1">
      <c r="B58" s="190"/>
      <c r="C58" s="191"/>
      <c r="D58" s="238"/>
      <c r="E58" s="192"/>
      <c r="F58" s="191"/>
      <c r="G58" s="287"/>
      <c r="H58" s="288"/>
      <c r="I58" s="235"/>
      <c r="J58" s="250"/>
      <c r="K58" s="287"/>
      <c r="L58" s="288"/>
      <c r="M58" s="235"/>
      <c r="N58" s="250"/>
      <c r="O58" s="287"/>
      <c r="P58" s="288"/>
      <c r="Q58" s="235"/>
      <c r="R58" s="250"/>
      <c r="S58" s="287"/>
      <c r="T58" s="288"/>
      <c r="U58" s="235"/>
      <c r="V58" s="250"/>
      <c r="W58" s="287"/>
      <c r="X58" s="288"/>
      <c r="Y58" s="235"/>
      <c r="Z58" s="250"/>
      <c r="AA58" s="287"/>
      <c r="AB58" s="288"/>
      <c r="AC58" s="191"/>
      <c r="AD58" s="195"/>
      <c r="AE58" s="286"/>
    </row>
    <row r="59" spans="2:35" ht="15" customHeight="1">
      <c r="B59" s="190"/>
      <c r="C59" s="199"/>
      <c r="D59" s="289"/>
      <c r="E59" s="290"/>
      <c r="F59" s="200"/>
      <c r="G59" s="291"/>
      <c r="H59" s="292"/>
      <c r="I59" s="293"/>
      <c r="J59" s="294"/>
      <c r="K59" s="291"/>
      <c r="L59" s="292"/>
      <c r="M59" s="293"/>
      <c r="N59" s="294"/>
      <c r="O59" s="291"/>
      <c r="P59" s="292"/>
      <c r="Q59" s="293"/>
      <c r="R59" s="294"/>
      <c r="S59" s="291"/>
      <c r="T59" s="292"/>
      <c r="U59" s="293"/>
      <c r="V59" s="294"/>
      <c r="W59" s="291"/>
      <c r="X59" s="292"/>
      <c r="Y59" s="293"/>
      <c r="Z59" s="294"/>
      <c r="AA59" s="291"/>
      <c r="AB59" s="292"/>
      <c r="AC59" s="201"/>
      <c r="AD59" s="195"/>
      <c r="AE59" s="286"/>
    </row>
    <row r="60" spans="2:35" ht="15" customHeight="1">
      <c r="B60" s="190"/>
      <c r="C60" s="203"/>
      <c r="D60" s="295" t="s">
        <v>94</v>
      </c>
      <c r="E60" s="192"/>
      <c r="F60" s="529" t="s">
        <v>61</v>
      </c>
      <c r="G60" s="530"/>
      <c r="H60" s="531"/>
      <c r="I60" s="191"/>
      <c r="J60" s="529" t="s">
        <v>29</v>
      </c>
      <c r="K60" s="530"/>
      <c r="L60" s="531"/>
      <c r="M60" s="191"/>
      <c r="N60" s="529" t="s">
        <v>30</v>
      </c>
      <c r="O60" s="530"/>
      <c r="P60" s="531"/>
      <c r="Q60" s="191"/>
      <c r="R60" s="529" t="s">
        <v>31</v>
      </c>
      <c r="S60" s="530"/>
      <c r="T60" s="531"/>
      <c r="U60" s="191"/>
      <c r="V60" s="529" t="s">
        <v>32</v>
      </c>
      <c r="W60" s="530"/>
      <c r="X60" s="531"/>
      <c r="Y60" s="191"/>
      <c r="Z60" s="529" t="s">
        <v>33</v>
      </c>
      <c r="AA60" s="530"/>
      <c r="AB60" s="531"/>
      <c r="AC60" s="202"/>
      <c r="AD60" s="195"/>
    </row>
    <row r="61" spans="2:35" ht="15" customHeight="1">
      <c r="B61" s="190"/>
      <c r="C61" s="203"/>
      <c r="D61" s="192"/>
      <c r="E61" s="296"/>
      <c r="F61" s="297" t="s">
        <v>95</v>
      </c>
      <c r="G61" s="298"/>
      <c r="H61" s="257">
        <f>F28+F46</f>
        <v>1.5</v>
      </c>
      <c r="I61" s="298"/>
      <c r="J61" s="297" t="s">
        <v>95</v>
      </c>
      <c r="K61" s="296"/>
      <c r="L61" s="257">
        <f>J28+J46</f>
        <v>14.5</v>
      </c>
      <c r="M61" s="296"/>
      <c r="N61" s="297" t="s">
        <v>95</v>
      </c>
      <c r="O61" s="296"/>
      <c r="P61" s="257">
        <f>N28+N46</f>
        <v>20</v>
      </c>
      <c r="Q61" s="296"/>
      <c r="R61" s="297" t="s">
        <v>95</v>
      </c>
      <c r="S61" s="296"/>
      <c r="T61" s="257">
        <f>R28+R46</f>
        <v>23</v>
      </c>
      <c r="U61" s="296"/>
      <c r="V61" s="297" t="s">
        <v>95</v>
      </c>
      <c r="W61" s="296"/>
      <c r="X61" s="257">
        <f>V28+V46</f>
        <v>24</v>
      </c>
      <c r="Y61" s="296"/>
      <c r="Z61" s="297" t="s">
        <v>95</v>
      </c>
      <c r="AA61" s="296"/>
      <c r="AB61" s="257">
        <f>Z28+Z46</f>
        <v>26</v>
      </c>
      <c r="AC61" s="227"/>
      <c r="AD61" s="299"/>
      <c r="AE61" s="196"/>
      <c r="AF61" s="196"/>
      <c r="AG61" s="196"/>
      <c r="AH61" s="300"/>
      <c r="AI61" s="196"/>
    </row>
    <row r="62" spans="2:35" ht="15" customHeight="1">
      <c r="B62" s="190"/>
      <c r="C62" s="203"/>
      <c r="D62" s="192"/>
      <c r="E62" s="192"/>
      <c r="F62" s="297" t="s">
        <v>96</v>
      </c>
      <c r="G62" s="301"/>
      <c r="H62" s="302">
        <f>H28+H46</f>
        <v>85000</v>
      </c>
      <c r="I62" s="301"/>
      <c r="J62" s="297" t="s">
        <v>96</v>
      </c>
      <c r="K62" s="301"/>
      <c r="L62" s="302">
        <f>L28+L46</f>
        <v>583900</v>
      </c>
      <c r="M62" s="301"/>
      <c r="N62" s="297" t="s">
        <v>96</v>
      </c>
      <c r="O62" s="301"/>
      <c r="P62" s="302">
        <f>P28+P46</f>
        <v>851913</v>
      </c>
      <c r="Q62" s="301"/>
      <c r="R62" s="297" t="s">
        <v>96</v>
      </c>
      <c r="S62" s="301"/>
      <c r="T62" s="302">
        <f>T28+T46</f>
        <v>959598.39</v>
      </c>
      <c r="U62" s="301"/>
      <c r="V62" s="297" t="s">
        <v>96</v>
      </c>
      <c r="W62" s="301"/>
      <c r="X62" s="302">
        <f>X28+X46</f>
        <v>988386.34169999999</v>
      </c>
      <c r="Y62" s="301"/>
      <c r="Z62" s="297" t="s">
        <v>96</v>
      </c>
      <c r="AA62" s="301"/>
      <c r="AB62" s="302">
        <f>AB28+AB46</f>
        <v>1075663.9830229999</v>
      </c>
      <c r="AC62" s="202"/>
      <c r="AD62" s="195"/>
    </row>
    <row r="63" spans="2:35" ht="15" customHeight="1">
      <c r="B63" s="190"/>
      <c r="C63" s="203"/>
      <c r="D63" s="192"/>
      <c r="E63" s="192"/>
      <c r="F63" s="297" t="s">
        <v>97</v>
      </c>
      <c r="G63" s="191"/>
      <c r="H63" s="303">
        <f>SUM(H50:H56)</f>
        <v>23927.5</v>
      </c>
      <c r="I63" s="191"/>
      <c r="J63" s="297" t="s">
        <v>97</v>
      </c>
      <c r="K63" s="191"/>
      <c r="L63" s="303">
        <f>SUM(L50:L56)</f>
        <v>207165.84999999998</v>
      </c>
      <c r="M63" s="191"/>
      <c r="N63" s="297" t="s">
        <v>97</v>
      </c>
      <c r="O63" s="191"/>
      <c r="P63" s="303">
        <f>SUM(P50:P56)</f>
        <v>291909.16950000002</v>
      </c>
      <c r="Q63" s="191"/>
      <c r="R63" s="297" t="s">
        <v>97</v>
      </c>
      <c r="S63" s="191"/>
      <c r="T63" s="303">
        <f>SUM(T50:T56)</f>
        <v>335334.23658500001</v>
      </c>
      <c r="U63" s="191"/>
      <c r="V63" s="297" t="s">
        <v>97</v>
      </c>
      <c r="W63" s="191"/>
      <c r="X63" s="303">
        <f>SUM(X50:X56)</f>
        <v>350401.21368255001</v>
      </c>
      <c r="Y63" s="191"/>
      <c r="Z63" s="297" t="s">
        <v>97</v>
      </c>
      <c r="AA63" s="191"/>
      <c r="AB63" s="303">
        <f>SUM(AB50:AB56)</f>
        <v>382075.89427683444</v>
      </c>
      <c r="AC63" s="202"/>
      <c r="AD63" s="195"/>
    </row>
    <row r="64" spans="2:35" ht="15" customHeight="1">
      <c r="B64" s="190"/>
      <c r="C64" s="203"/>
      <c r="D64" s="192"/>
      <c r="E64" s="192"/>
      <c r="F64" s="297" t="s">
        <v>98</v>
      </c>
      <c r="G64" s="191"/>
      <c r="H64" s="303">
        <f>H62+H63</f>
        <v>108927.5</v>
      </c>
      <c r="I64" s="191"/>
      <c r="J64" s="297" t="s">
        <v>98</v>
      </c>
      <c r="K64" s="191"/>
      <c r="L64" s="303">
        <f>L62+L63</f>
        <v>791065.85</v>
      </c>
      <c r="M64" s="191"/>
      <c r="N64" s="297" t="s">
        <v>98</v>
      </c>
      <c r="O64" s="191"/>
      <c r="P64" s="303">
        <f>P62+P63</f>
        <v>1143822.1695000001</v>
      </c>
      <c r="Q64" s="191"/>
      <c r="R64" s="297" t="s">
        <v>98</v>
      </c>
      <c r="S64" s="191"/>
      <c r="T64" s="303">
        <f>T62+T63</f>
        <v>1294932.626585</v>
      </c>
      <c r="U64" s="191"/>
      <c r="V64" s="297" t="s">
        <v>98</v>
      </c>
      <c r="W64" s="191"/>
      <c r="X64" s="303">
        <f>X62+X63</f>
        <v>1338787.55538255</v>
      </c>
      <c r="Y64" s="191"/>
      <c r="Z64" s="297" t="s">
        <v>98</v>
      </c>
      <c r="AA64" s="191"/>
      <c r="AB64" s="303">
        <f>AB62+AB63</f>
        <v>1457739.8772998345</v>
      </c>
      <c r="AC64" s="202"/>
      <c r="AD64" s="195"/>
    </row>
    <row r="65" spans="2:30" ht="15" customHeight="1">
      <c r="B65" s="190"/>
      <c r="C65" s="203"/>
      <c r="D65" s="191"/>
      <c r="E65" s="192"/>
      <c r="F65" s="297" t="s">
        <v>99</v>
      </c>
      <c r="G65" s="246"/>
      <c r="H65" s="257" t="s">
        <v>100</v>
      </c>
      <c r="I65" s="246"/>
      <c r="J65" s="297" t="s">
        <v>99</v>
      </c>
      <c r="K65" s="246"/>
      <c r="L65" s="257" t="str">
        <f>IFERROR((ROUND(('2. Enrollment Projections'!$E$29+'2. Enrollment Projections'!$E$33)/(J28),0)&amp;":1"),"")</f>
        <v>22:1</v>
      </c>
      <c r="M65" s="246"/>
      <c r="N65" s="297" t="s">
        <v>99</v>
      </c>
      <c r="O65" s="246"/>
      <c r="P65" s="257" t="str">
        <f>IFERROR((ROUND(('2. Enrollment Projections'!$E$29+'2. Enrollment Projections'!$E$33)/(N28),0)&amp;":1"),"")</f>
        <v>15:1</v>
      </c>
      <c r="Q65" s="246"/>
      <c r="R65" s="297" t="s">
        <v>99</v>
      </c>
      <c r="S65" s="246"/>
      <c r="T65" s="257" t="str">
        <f>IFERROR((ROUND(('2. Enrollment Projections'!$E$29+'2. Enrollment Projections'!$E$33)/(R28),0)&amp;":1"),"")</f>
        <v>13:1</v>
      </c>
      <c r="U65" s="246"/>
      <c r="V65" s="297" t="s">
        <v>99</v>
      </c>
      <c r="W65" s="246"/>
      <c r="X65" s="257" t="str">
        <f>IFERROR((ROUND(('2. Enrollment Projections'!$E$29+'2. Enrollment Projections'!$E$33)/(V28),0)&amp;":1"),"")</f>
        <v>13:1</v>
      </c>
      <c r="Y65" s="246"/>
      <c r="Z65" s="297" t="s">
        <v>99</v>
      </c>
      <c r="AA65" s="246"/>
      <c r="AB65" s="257" t="str">
        <f>IFERROR((ROUND(('2. Enrollment Projections'!$E$29+'2. Enrollment Projections'!$E$33)/(Z28),0)&amp;":1"),"")</f>
        <v>12:1</v>
      </c>
      <c r="AC65" s="202"/>
      <c r="AD65" s="195"/>
    </row>
    <row r="66" spans="2:30" ht="15" customHeight="1">
      <c r="B66" s="190"/>
      <c r="C66" s="203"/>
      <c r="D66" s="191"/>
      <c r="E66" s="192"/>
      <c r="F66" s="304" t="s">
        <v>101</v>
      </c>
      <c r="G66" s="305"/>
      <c r="H66" s="306" t="s">
        <v>100</v>
      </c>
      <c r="I66" s="246"/>
      <c r="J66" s="304" t="s">
        <v>101</v>
      </c>
      <c r="K66" s="305"/>
      <c r="L66" s="306" t="str">
        <f>IFERROR((ROUND(('2. Enrollment Projections'!$E$29+'2. Enrollment Projections'!$E$33)/(J46),0)&amp;":1"),"")</f>
        <v>36:1</v>
      </c>
      <c r="M66" s="246"/>
      <c r="N66" s="304" t="s">
        <v>101</v>
      </c>
      <c r="O66" s="305"/>
      <c r="P66" s="306" t="str">
        <f>IFERROR((ROUND(('2. Enrollment Projections'!$E$29+'2. Enrollment Projections'!$E$33)/(N46),0)&amp;":1"),"")</f>
        <v>28:1</v>
      </c>
      <c r="Q66" s="246"/>
      <c r="R66" s="304" t="s">
        <v>101</v>
      </c>
      <c r="S66" s="305"/>
      <c r="T66" s="306" t="str">
        <f>IFERROR((ROUND(('2. Enrollment Projections'!$E$29+'2. Enrollment Projections'!$E$33)/(R46),0)&amp;":1"),"")</f>
        <v>25:1</v>
      </c>
      <c r="U66" s="246"/>
      <c r="V66" s="304" t="s">
        <v>101</v>
      </c>
      <c r="W66" s="305"/>
      <c r="X66" s="306" t="str">
        <f>IFERROR((ROUND(('2. Enrollment Projections'!$E$29+'2. Enrollment Projections'!$E$33)/(V46),0)&amp;":1"),"")</f>
        <v>22:1</v>
      </c>
      <c r="Y66" s="246"/>
      <c r="Z66" s="304" t="s">
        <v>101</v>
      </c>
      <c r="AA66" s="305"/>
      <c r="AB66" s="306" t="str">
        <f>IFERROR((ROUND(('2. Enrollment Projections'!$E$29+'2. Enrollment Projections'!$E$33)/(Z46),0)&amp;":1"),"")</f>
        <v>20:1</v>
      </c>
      <c r="AC66" s="202"/>
      <c r="AD66" s="195"/>
    </row>
    <row r="67" spans="2:30" ht="15" customHeight="1">
      <c r="B67" s="190"/>
      <c r="C67" s="278"/>
      <c r="D67" s="307"/>
      <c r="E67" s="307"/>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5"/>
      <c r="AD67" s="195"/>
    </row>
    <row r="68" spans="2:30" ht="15" customHeight="1">
      <c r="B68" s="190"/>
      <c r="C68" s="191"/>
      <c r="D68" s="308"/>
      <c r="E68" s="308"/>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5"/>
    </row>
    <row r="69" spans="2:30" ht="30.75" customHeight="1">
      <c r="B69" s="190"/>
      <c r="C69" s="543" t="s">
        <v>102</v>
      </c>
      <c r="D69" s="542"/>
      <c r="E69" s="542"/>
      <c r="F69" s="542"/>
      <c r="G69" s="542"/>
      <c r="H69" s="542"/>
      <c r="I69" s="542"/>
      <c r="J69" s="542"/>
      <c r="K69" s="542"/>
      <c r="L69" s="542"/>
      <c r="M69" s="542"/>
      <c r="N69" s="542"/>
      <c r="O69" s="542"/>
      <c r="P69" s="542"/>
      <c r="Q69" s="542"/>
      <c r="R69" s="542"/>
      <c r="S69" s="537"/>
      <c r="T69" s="537"/>
      <c r="U69" s="191"/>
      <c r="V69" s="191"/>
      <c r="W69" s="191"/>
      <c r="X69" s="191"/>
      <c r="Y69" s="191"/>
      <c r="Z69" s="191"/>
      <c r="AA69" s="191"/>
      <c r="AB69" s="191"/>
      <c r="AC69" s="191"/>
      <c r="AD69" s="195"/>
    </row>
    <row r="70" spans="2:30" ht="20.25" customHeight="1">
      <c r="B70" s="190"/>
      <c r="C70" s="541" t="s">
        <v>103</v>
      </c>
      <c r="D70" s="542"/>
      <c r="E70" s="542"/>
      <c r="F70" s="542"/>
      <c r="G70" s="542"/>
      <c r="H70" s="542"/>
      <c r="I70" s="542"/>
      <c r="J70" s="542"/>
      <c r="K70" s="542"/>
      <c r="L70" s="542"/>
      <c r="M70" s="542"/>
      <c r="N70" s="542"/>
      <c r="O70" s="542"/>
      <c r="P70" s="542"/>
      <c r="Q70" s="542"/>
      <c r="R70" s="542"/>
      <c r="S70" s="542"/>
      <c r="T70" s="542"/>
      <c r="U70" s="542"/>
      <c r="V70" s="542"/>
      <c r="W70" s="542"/>
      <c r="X70" s="191"/>
      <c r="Y70" s="191"/>
      <c r="Z70" s="191"/>
      <c r="AA70" s="191"/>
      <c r="AB70" s="191"/>
      <c r="AC70" s="191"/>
      <c r="AD70" s="195"/>
    </row>
    <row r="71" spans="2:30" ht="27.95" customHeight="1">
      <c r="B71" s="190"/>
      <c r="C71" s="542"/>
      <c r="D71" s="542"/>
      <c r="E71" s="542"/>
      <c r="F71" s="542"/>
      <c r="G71" s="542"/>
      <c r="H71" s="542"/>
      <c r="I71" s="542"/>
      <c r="J71" s="542"/>
      <c r="K71" s="542"/>
      <c r="L71" s="542"/>
      <c r="M71" s="542"/>
      <c r="N71" s="542"/>
      <c r="O71" s="542"/>
      <c r="P71" s="542"/>
      <c r="Q71" s="542"/>
      <c r="R71" s="542"/>
      <c r="S71" s="542"/>
      <c r="T71" s="542"/>
      <c r="U71" s="542"/>
      <c r="V71" s="542"/>
      <c r="W71" s="542"/>
      <c r="X71" s="191"/>
      <c r="Y71" s="191"/>
      <c r="Z71" s="191"/>
      <c r="AA71" s="191"/>
      <c r="AB71" s="191"/>
      <c r="AC71" s="191"/>
      <c r="AD71" s="195"/>
    </row>
    <row r="72" spans="2:30" ht="21" customHeight="1">
      <c r="B72" s="190"/>
      <c r="C72" s="542"/>
      <c r="D72" s="542"/>
      <c r="E72" s="542"/>
      <c r="F72" s="542"/>
      <c r="G72" s="542"/>
      <c r="H72" s="542"/>
      <c r="I72" s="542"/>
      <c r="J72" s="542"/>
      <c r="K72" s="542"/>
      <c r="L72" s="542"/>
      <c r="M72" s="542"/>
      <c r="N72" s="542"/>
      <c r="O72" s="542"/>
      <c r="P72" s="542"/>
      <c r="Q72" s="542"/>
      <c r="R72" s="542"/>
      <c r="S72" s="542"/>
      <c r="T72" s="542"/>
      <c r="U72" s="542"/>
      <c r="V72" s="542"/>
      <c r="W72" s="542"/>
      <c r="X72" s="191"/>
      <c r="Y72" s="191"/>
      <c r="Z72" s="191"/>
      <c r="AA72" s="191"/>
      <c r="AB72" s="191"/>
      <c r="AC72" s="191"/>
      <c r="AD72" s="195"/>
    </row>
    <row r="73" spans="2:30" ht="13.5" customHeight="1">
      <c r="B73" s="190"/>
      <c r="C73" s="542"/>
      <c r="D73" s="542"/>
      <c r="E73" s="542"/>
      <c r="F73" s="542"/>
      <c r="G73" s="542"/>
      <c r="H73" s="542"/>
      <c r="I73" s="542"/>
      <c r="J73" s="542"/>
      <c r="K73" s="542"/>
      <c r="L73" s="542"/>
      <c r="M73" s="542"/>
      <c r="N73" s="542"/>
      <c r="O73" s="542"/>
      <c r="P73" s="542"/>
      <c r="Q73" s="542"/>
      <c r="R73" s="542"/>
      <c r="S73" s="542"/>
      <c r="T73" s="542"/>
      <c r="U73" s="542"/>
      <c r="V73" s="542"/>
      <c r="W73" s="542"/>
      <c r="X73" s="191"/>
      <c r="Y73" s="191"/>
      <c r="Z73" s="191"/>
      <c r="AA73" s="191"/>
      <c r="AB73" s="191"/>
      <c r="AC73" s="191"/>
      <c r="AD73" s="195"/>
    </row>
    <row r="74" spans="2:30" ht="28.5" customHeight="1">
      <c r="B74" s="190"/>
      <c r="C74" s="535" t="s">
        <v>104</v>
      </c>
      <c r="D74" s="535"/>
      <c r="E74" s="535"/>
      <c r="F74" s="535"/>
      <c r="G74" s="535"/>
      <c r="H74" s="535"/>
      <c r="I74" s="535"/>
      <c r="J74" s="535"/>
      <c r="K74" s="535"/>
      <c r="L74" s="535"/>
      <c r="M74" s="535"/>
      <c r="N74" s="535"/>
      <c r="O74" s="535"/>
      <c r="P74" s="535"/>
      <c r="Q74" s="535"/>
      <c r="R74" s="535"/>
      <c r="S74" s="535"/>
      <c r="T74" s="535"/>
      <c r="U74" s="535"/>
      <c r="V74" s="535"/>
      <c r="W74" s="535"/>
      <c r="X74" s="191"/>
      <c r="Y74" s="191"/>
      <c r="Z74" s="191"/>
      <c r="AA74" s="191"/>
      <c r="AB74" s="191"/>
      <c r="AC74" s="191"/>
      <c r="AD74" s="195"/>
    </row>
    <row r="75" spans="2:30" ht="20.25" customHeight="1">
      <c r="B75" s="190"/>
      <c r="C75" s="535" t="s">
        <v>105</v>
      </c>
      <c r="D75" s="535"/>
      <c r="E75" s="535"/>
      <c r="F75" s="535"/>
      <c r="G75" s="535"/>
      <c r="H75" s="535"/>
      <c r="I75" s="535"/>
      <c r="J75" s="535"/>
      <c r="K75" s="535"/>
      <c r="L75" s="535"/>
      <c r="M75" s="535"/>
      <c r="N75" s="535"/>
      <c r="O75" s="535"/>
      <c r="P75" s="535"/>
      <c r="Q75" s="535"/>
      <c r="R75" s="535"/>
      <c r="S75" s="535"/>
      <c r="T75" s="535"/>
      <c r="U75" s="535"/>
      <c r="V75" s="535"/>
      <c r="W75" s="535"/>
      <c r="X75" s="191"/>
      <c r="Y75" s="191"/>
      <c r="Z75" s="191"/>
      <c r="AA75" s="191"/>
      <c r="AB75" s="191"/>
      <c r="AC75" s="191"/>
      <c r="AD75" s="195"/>
    </row>
    <row r="76" spans="2:30" ht="20.25" customHeight="1">
      <c r="B76" s="190"/>
      <c r="C76" s="535" t="s">
        <v>106</v>
      </c>
      <c r="D76" s="535"/>
      <c r="E76" s="535"/>
      <c r="F76" s="535"/>
      <c r="G76" s="535"/>
      <c r="H76" s="535"/>
      <c r="I76" s="535"/>
      <c r="J76" s="535"/>
      <c r="K76" s="535"/>
      <c r="L76" s="535"/>
      <c r="M76" s="535"/>
      <c r="N76" s="535"/>
      <c r="O76" s="535"/>
      <c r="P76" s="535"/>
      <c r="Q76" s="535"/>
      <c r="R76" s="535"/>
      <c r="S76" s="535"/>
      <c r="T76" s="535"/>
      <c r="U76" s="535"/>
      <c r="V76" s="535"/>
      <c r="W76" s="535"/>
      <c r="X76" s="191"/>
      <c r="Y76" s="191"/>
      <c r="Z76" s="191"/>
      <c r="AA76" s="191"/>
      <c r="AB76" s="191"/>
      <c r="AC76" s="191"/>
      <c r="AD76" s="195"/>
    </row>
    <row r="77" spans="2:30" ht="20.25" customHeight="1">
      <c r="B77" s="190"/>
      <c r="C77" s="535" t="s">
        <v>107</v>
      </c>
      <c r="D77" s="535"/>
      <c r="E77" s="535"/>
      <c r="F77" s="535"/>
      <c r="G77" s="535"/>
      <c r="H77" s="535"/>
      <c r="I77" s="535"/>
      <c r="J77" s="535"/>
      <c r="K77" s="535"/>
      <c r="L77" s="535"/>
      <c r="M77" s="535"/>
      <c r="N77" s="535"/>
      <c r="O77" s="535"/>
      <c r="P77" s="535"/>
      <c r="Q77" s="535"/>
      <c r="R77" s="535"/>
      <c r="S77" s="535"/>
      <c r="T77" s="535"/>
      <c r="U77" s="535"/>
      <c r="V77" s="535"/>
      <c r="W77" s="535"/>
      <c r="X77" s="191"/>
      <c r="Y77" s="191"/>
      <c r="Z77" s="191"/>
      <c r="AA77" s="191"/>
      <c r="AB77" s="191"/>
      <c r="AC77" s="191"/>
      <c r="AD77" s="195"/>
    </row>
    <row r="78" spans="2:30" ht="15.75" thickBot="1">
      <c r="B78" s="309"/>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1"/>
    </row>
    <row r="80" spans="2:30">
      <c r="F80" s="109"/>
    </row>
    <row r="81" spans="6:7">
      <c r="F81" s="109"/>
      <c r="G81" s="312"/>
    </row>
  </sheetData>
  <sheetProtection password="BDDB" sheet="1" objects="1" scenarios="1" selectLockedCells="1"/>
  <mergeCells count="21">
    <mergeCell ref="C77:W77"/>
    <mergeCell ref="R10:T10"/>
    <mergeCell ref="C76:W76"/>
    <mergeCell ref="J60:L60"/>
    <mergeCell ref="F60:H60"/>
    <mergeCell ref="R60:T60"/>
    <mergeCell ref="C70:W73"/>
    <mergeCell ref="C74:W74"/>
    <mergeCell ref="C75:W75"/>
    <mergeCell ref="N10:P10"/>
    <mergeCell ref="C69:T69"/>
    <mergeCell ref="V10:X10"/>
    <mergeCell ref="N60:P60"/>
    <mergeCell ref="V60:X60"/>
    <mergeCell ref="C2:AC2"/>
    <mergeCell ref="Z10:AB10"/>
    <mergeCell ref="Z60:AB60"/>
    <mergeCell ref="F10:H10"/>
    <mergeCell ref="J10:L10"/>
    <mergeCell ref="T7:AF7"/>
    <mergeCell ref="D6:P7"/>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B1:U165"/>
  <sheetViews>
    <sheetView zoomScale="59" zoomScaleNormal="100" workbookViewId="0">
      <selection activeCell="N24" sqref="N24:R24"/>
    </sheetView>
  </sheetViews>
  <sheetFormatPr defaultRowHeight="12.75"/>
  <cols>
    <col min="1" max="2" width="3" style="3" customWidth="1"/>
    <col min="3" max="3" width="3" style="1" customWidth="1"/>
    <col min="4" max="4" width="21.42578125" style="2" customWidth="1"/>
    <col min="5" max="5" width="41.28515625" style="3" customWidth="1"/>
    <col min="6" max="6" width="2.7109375" style="470" customWidth="1"/>
    <col min="7" max="7" width="14.28515625" style="21" customWidth="1"/>
    <col min="8" max="19" width="14.28515625" style="3" customWidth="1"/>
    <col min="20" max="21" width="3" style="3" customWidth="1"/>
    <col min="22" max="16384" width="9.140625" style="3"/>
  </cols>
  <sheetData>
    <row r="1" spans="2:21" ht="15" customHeight="1" thickBot="1"/>
    <row r="2" spans="2:21" ht="21" customHeight="1">
      <c r="B2" s="22"/>
      <c r="C2" s="14"/>
      <c r="D2" s="524" t="s">
        <v>108</v>
      </c>
      <c r="E2" s="583"/>
      <c r="F2" s="583"/>
      <c r="G2" s="583"/>
      <c r="H2" s="583"/>
      <c r="I2" s="583"/>
      <c r="J2" s="583"/>
      <c r="K2" s="583"/>
      <c r="L2" s="583"/>
      <c r="M2" s="583"/>
      <c r="N2" s="583"/>
      <c r="O2" s="583"/>
      <c r="P2" s="583"/>
      <c r="Q2" s="583"/>
      <c r="R2" s="583"/>
      <c r="S2" s="583"/>
      <c r="T2" s="14"/>
      <c r="U2" s="23"/>
    </row>
    <row r="3" spans="2:21" ht="15" customHeight="1">
      <c r="B3" s="24"/>
      <c r="C3" s="6"/>
      <c r="D3" s="15"/>
      <c r="E3" s="76"/>
      <c r="F3" s="471"/>
      <c r="G3" s="106"/>
      <c r="H3" s="29"/>
      <c r="I3" s="29"/>
      <c r="J3" s="29"/>
      <c r="K3" s="29"/>
      <c r="L3" s="29"/>
      <c r="M3" s="29"/>
      <c r="N3" s="29"/>
      <c r="O3" s="29"/>
      <c r="P3" s="29"/>
      <c r="Q3" s="29"/>
      <c r="R3" s="29"/>
      <c r="S3" s="29"/>
      <c r="T3" s="29"/>
      <c r="U3" s="25"/>
    </row>
    <row r="4" spans="2:21" s="78" customFormat="1" ht="15" customHeight="1">
      <c r="B4" s="348"/>
      <c r="C4" s="328"/>
      <c r="D4" s="192" t="s">
        <v>22</v>
      </c>
      <c r="E4" s="354" t="str">
        <f>IF(ISBLANK('1. Instructions'!E6),"Please enter School Name on Tab 1.",'1. Instructions'!E6)</f>
        <v>GEO Acadmies - South Bend/Elkhart</v>
      </c>
      <c r="F4" s="472"/>
      <c r="G4" s="354"/>
      <c r="H4" s="350"/>
      <c r="I4" s="52"/>
      <c r="J4" s="355"/>
      <c r="K4" s="52"/>
      <c r="L4" s="52"/>
      <c r="M4" s="52"/>
      <c r="N4" s="52"/>
      <c r="O4" s="52"/>
      <c r="P4" s="52"/>
      <c r="Q4" s="52"/>
      <c r="R4" s="52"/>
      <c r="S4" s="52"/>
      <c r="T4" s="52"/>
      <c r="U4" s="353"/>
    </row>
    <row r="5" spans="2:21" s="78" customFormat="1" ht="15" customHeight="1">
      <c r="B5" s="348"/>
      <c r="C5" s="328"/>
      <c r="D5" s="192" t="s">
        <v>23</v>
      </c>
      <c r="E5" s="354">
        <f>IF(ISBLANK('1. Instructions'!E7),"Please enter School's Opening Year on Tab 1.",'1. Instructions'!E7)</f>
        <v>2023</v>
      </c>
      <c r="F5" s="472"/>
      <c r="G5" s="354"/>
      <c r="H5" s="350"/>
      <c r="I5" s="52"/>
      <c r="J5" s="355"/>
      <c r="K5" s="52"/>
      <c r="L5" s="52"/>
      <c r="M5" s="52"/>
      <c r="N5" s="52"/>
      <c r="O5" s="52"/>
      <c r="P5" s="52"/>
      <c r="Q5" s="52"/>
      <c r="R5" s="52"/>
      <c r="S5" s="52"/>
      <c r="T5" s="52"/>
      <c r="U5" s="353"/>
    </row>
    <row r="6" spans="2:21" s="78" customFormat="1" ht="15" customHeight="1">
      <c r="B6" s="348"/>
      <c r="C6" s="328"/>
      <c r="D6" s="356"/>
      <c r="E6" s="52"/>
      <c r="F6" s="473"/>
      <c r="G6" s="52"/>
      <c r="H6" s="52"/>
      <c r="I6" s="52"/>
      <c r="J6" s="52"/>
      <c r="K6" s="52"/>
      <c r="L6" s="52"/>
      <c r="M6" s="204"/>
      <c r="N6" s="204"/>
      <c r="O6" s="204"/>
      <c r="P6" s="204"/>
      <c r="Q6" s="52"/>
      <c r="R6" s="355"/>
      <c r="S6" s="52"/>
      <c r="T6" s="52"/>
      <c r="U6" s="353"/>
    </row>
    <row r="7" spans="2:21" s="78" customFormat="1" ht="19.5" customHeight="1">
      <c r="B7" s="348"/>
      <c r="C7" s="328"/>
      <c r="D7" s="577" t="s">
        <v>109</v>
      </c>
      <c r="E7" s="578"/>
      <c r="F7" s="578"/>
      <c r="G7" s="578"/>
      <c r="H7" s="578"/>
      <c r="I7" s="578"/>
      <c r="J7" s="578"/>
      <c r="K7" s="578"/>
      <c r="L7" s="578"/>
      <c r="M7" s="578"/>
      <c r="N7" s="578"/>
      <c r="O7" s="578"/>
      <c r="P7" s="578"/>
      <c r="Q7" s="578"/>
      <c r="R7" s="578"/>
      <c r="S7" s="578"/>
      <c r="T7" s="52"/>
      <c r="U7" s="353"/>
    </row>
    <row r="8" spans="2:21" s="78" customFormat="1" ht="46.5" customHeight="1">
      <c r="B8" s="348"/>
      <c r="C8" s="328"/>
      <c r="D8" s="573" t="s">
        <v>110</v>
      </c>
      <c r="E8" s="574"/>
      <c r="F8" s="574"/>
      <c r="G8" s="574"/>
      <c r="H8" s="574"/>
      <c r="I8" s="574"/>
      <c r="J8" s="574"/>
      <c r="K8" s="574"/>
      <c r="L8" s="574"/>
      <c r="M8" s="574"/>
      <c r="N8" s="574"/>
      <c r="O8" s="574"/>
      <c r="P8" s="575"/>
      <c r="Q8" s="575"/>
      <c r="R8" s="575"/>
      <c r="S8" s="576"/>
      <c r="T8" s="52"/>
      <c r="U8" s="353"/>
    </row>
    <row r="9" spans="2:21" s="78" customFormat="1" ht="15" customHeight="1" thickBot="1">
      <c r="B9" s="348"/>
      <c r="C9" s="328"/>
      <c r="D9" s="424"/>
      <c r="E9" s="425"/>
      <c r="F9" s="484"/>
      <c r="G9" s="425"/>
      <c r="H9" s="425"/>
      <c r="I9" s="425"/>
      <c r="J9" s="425"/>
      <c r="K9" s="425"/>
      <c r="L9" s="425"/>
      <c r="M9" s="425"/>
      <c r="N9" s="425"/>
      <c r="O9" s="425"/>
      <c r="P9" s="204"/>
      <c r="Q9" s="52"/>
      <c r="R9" s="355"/>
      <c r="S9" s="52"/>
      <c r="T9" s="52"/>
      <c r="U9" s="353"/>
    </row>
    <row r="10" spans="2:21" s="78" customFormat="1" ht="32.25" customHeight="1" thickBot="1">
      <c r="B10" s="348"/>
      <c r="C10" s="328"/>
      <c r="D10" s="579" t="s">
        <v>111</v>
      </c>
      <c r="E10" s="580"/>
      <c r="F10" s="580"/>
      <c r="G10" s="580"/>
      <c r="H10" s="580"/>
      <c r="I10" s="580"/>
      <c r="J10" s="580"/>
      <c r="K10" s="580"/>
      <c r="L10" s="580"/>
      <c r="M10" s="580"/>
      <c r="N10" s="580"/>
      <c r="O10" s="580"/>
      <c r="P10" s="581"/>
      <c r="Q10" s="581"/>
      <c r="R10" s="581"/>
      <c r="S10" s="582"/>
      <c r="T10" s="52"/>
      <c r="U10" s="353"/>
    </row>
    <row r="11" spans="2:21" ht="15" customHeight="1">
      <c r="B11" s="24"/>
      <c r="C11" s="6"/>
      <c r="D11" s="15"/>
      <c r="E11" s="29"/>
      <c r="G11" s="106"/>
      <c r="H11" s="29"/>
      <c r="I11" s="29"/>
      <c r="J11" s="29"/>
      <c r="K11" s="29"/>
      <c r="L11" s="29"/>
      <c r="M11" s="29"/>
      <c r="N11" s="29"/>
      <c r="O11" s="29"/>
      <c r="P11" s="29"/>
      <c r="Q11" s="29"/>
      <c r="R11" s="29"/>
      <c r="S11" s="29"/>
      <c r="T11" s="29"/>
      <c r="U11" s="25"/>
    </row>
    <row r="12" spans="2:21" s="105" customFormat="1" ht="15" customHeight="1" thickBot="1">
      <c r="B12" s="30"/>
      <c r="C12" s="9"/>
      <c r="D12" s="566"/>
      <c r="E12" s="566"/>
      <c r="F12" s="474"/>
      <c r="G12" s="31"/>
      <c r="H12" s="31"/>
      <c r="I12" s="31"/>
      <c r="J12" s="31"/>
      <c r="K12" s="31"/>
      <c r="L12" s="31"/>
      <c r="M12" s="31"/>
      <c r="N12" s="31"/>
      <c r="O12" s="31"/>
      <c r="P12" s="31"/>
      <c r="Q12" s="31"/>
      <c r="R12" s="31"/>
      <c r="S12" s="31"/>
      <c r="T12" s="26"/>
      <c r="U12" s="32"/>
    </row>
    <row r="13" spans="2:21" s="105" customFormat="1" ht="15" customHeight="1">
      <c r="B13" s="30"/>
      <c r="C13" s="10"/>
      <c r="D13" s="567" t="s">
        <v>112</v>
      </c>
      <c r="E13" s="568"/>
      <c r="F13" s="475"/>
      <c r="G13" s="571" t="s">
        <v>113</v>
      </c>
      <c r="H13" s="558" t="s">
        <v>114</v>
      </c>
      <c r="I13" s="558" t="s">
        <v>115</v>
      </c>
      <c r="J13" s="558" t="s">
        <v>116</v>
      </c>
      <c r="K13" s="558" t="s">
        <v>117</v>
      </c>
      <c r="L13" s="584" t="s">
        <v>118</v>
      </c>
      <c r="M13" s="586" t="s">
        <v>119</v>
      </c>
      <c r="N13" s="558" t="s">
        <v>120</v>
      </c>
      <c r="O13" s="558" t="s">
        <v>121</v>
      </c>
      <c r="P13" s="558" t="s">
        <v>122</v>
      </c>
      <c r="Q13" s="558" t="s">
        <v>123</v>
      </c>
      <c r="R13" s="558" t="s">
        <v>124</v>
      </c>
      <c r="S13" s="560" t="s">
        <v>125</v>
      </c>
      <c r="T13" s="19"/>
      <c r="U13" s="32"/>
    </row>
    <row r="14" spans="2:21" s="105" customFormat="1" ht="15" customHeight="1">
      <c r="B14" s="30"/>
      <c r="C14" s="10"/>
      <c r="D14" s="569"/>
      <c r="E14" s="570"/>
      <c r="F14" s="476"/>
      <c r="G14" s="572"/>
      <c r="H14" s="559"/>
      <c r="I14" s="559"/>
      <c r="J14" s="559"/>
      <c r="K14" s="559"/>
      <c r="L14" s="585"/>
      <c r="M14" s="587"/>
      <c r="N14" s="559"/>
      <c r="O14" s="559"/>
      <c r="P14" s="559"/>
      <c r="Q14" s="559"/>
      <c r="R14" s="559"/>
      <c r="S14" s="561"/>
      <c r="T14" s="19"/>
      <c r="U14" s="32"/>
    </row>
    <row r="15" spans="2:21" s="105" customFormat="1" ht="15" customHeight="1">
      <c r="B15" s="30"/>
      <c r="C15" s="7"/>
      <c r="D15" s="564" t="s">
        <v>126</v>
      </c>
      <c r="E15" s="565"/>
      <c r="F15" s="477"/>
      <c r="G15" s="51"/>
      <c r="H15" s="51"/>
      <c r="I15" s="51"/>
      <c r="J15" s="51"/>
      <c r="K15" s="51"/>
      <c r="L15" s="51"/>
      <c r="M15" s="51"/>
      <c r="N15" s="51"/>
      <c r="O15" s="51"/>
      <c r="P15" s="51"/>
      <c r="Q15" s="51"/>
      <c r="R15" s="51"/>
      <c r="S15" s="27"/>
      <c r="T15" s="35"/>
      <c r="U15" s="32"/>
    </row>
    <row r="16" spans="2:21" ht="15" customHeight="1">
      <c r="B16" s="24"/>
      <c r="C16" s="7"/>
      <c r="D16" s="562" t="s">
        <v>127</v>
      </c>
      <c r="E16" s="563"/>
      <c r="F16" s="490"/>
      <c r="G16" s="36">
        <v>0</v>
      </c>
      <c r="H16" s="36">
        <v>0</v>
      </c>
      <c r="I16" s="36">
        <v>0</v>
      </c>
      <c r="J16" s="36">
        <v>0</v>
      </c>
      <c r="K16" s="36">
        <v>0</v>
      </c>
      <c r="L16" s="37">
        <v>0</v>
      </c>
      <c r="M16" s="38">
        <v>0</v>
      </c>
      <c r="N16" s="36">
        <v>0</v>
      </c>
      <c r="O16" s="36">
        <v>0</v>
      </c>
      <c r="P16" s="36">
        <v>0</v>
      </c>
      <c r="Q16" s="36">
        <v>0</v>
      </c>
      <c r="R16" s="36">
        <v>0</v>
      </c>
      <c r="S16" s="39">
        <f>SUM(G16:R16)</f>
        <v>0</v>
      </c>
      <c r="T16" s="35"/>
      <c r="U16" s="25"/>
    </row>
    <row r="17" spans="2:21" ht="15" customHeight="1">
      <c r="B17" s="24"/>
      <c r="C17" s="7"/>
      <c r="D17" s="562" t="s">
        <v>128</v>
      </c>
      <c r="E17" s="563"/>
      <c r="F17" s="478"/>
      <c r="G17" s="36">
        <v>0</v>
      </c>
      <c r="H17" s="36">
        <v>0</v>
      </c>
      <c r="I17" s="36">
        <v>0</v>
      </c>
      <c r="J17" s="36">
        <v>0</v>
      </c>
      <c r="K17" s="36">
        <v>0</v>
      </c>
      <c r="L17" s="37">
        <v>0</v>
      </c>
      <c r="M17" s="38">
        <v>0</v>
      </c>
      <c r="N17" s="36">
        <v>0</v>
      </c>
      <c r="O17" s="36">
        <v>0</v>
      </c>
      <c r="P17" s="36">
        <v>0</v>
      </c>
      <c r="Q17" s="36">
        <v>0</v>
      </c>
      <c r="R17" s="36">
        <v>0</v>
      </c>
      <c r="S17" s="39">
        <f>SUM(G17:R17)</f>
        <v>0</v>
      </c>
      <c r="T17" s="35"/>
      <c r="U17" s="25"/>
    </row>
    <row r="18" spans="2:21" ht="15" customHeight="1">
      <c r="B18" s="24"/>
      <c r="C18" s="7"/>
      <c r="D18" s="544"/>
      <c r="E18" s="545"/>
      <c r="F18" s="473"/>
      <c r="G18" s="27"/>
      <c r="H18" s="27"/>
      <c r="I18" s="27"/>
      <c r="J18" s="27"/>
      <c r="K18" s="27"/>
      <c r="L18" s="27"/>
      <c r="M18" s="27"/>
      <c r="N18" s="27"/>
      <c r="O18" s="27"/>
      <c r="P18" s="27"/>
      <c r="Q18" s="27"/>
      <c r="R18" s="27"/>
      <c r="S18" s="459"/>
      <c r="T18" s="18"/>
      <c r="U18" s="25"/>
    </row>
    <row r="19" spans="2:21" ht="15" customHeight="1">
      <c r="B19" s="24"/>
      <c r="C19" s="7"/>
      <c r="D19" s="546" t="s">
        <v>129</v>
      </c>
      <c r="E19" s="547"/>
      <c r="F19" s="473"/>
      <c r="G19" s="40">
        <f t="shared" ref="G19:R19" si="0">SUM(G16:G17)</f>
        <v>0</v>
      </c>
      <c r="H19" s="40">
        <f t="shared" si="0"/>
        <v>0</v>
      </c>
      <c r="I19" s="40">
        <f t="shared" si="0"/>
        <v>0</v>
      </c>
      <c r="J19" s="40">
        <f t="shared" si="0"/>
        <v>0</v>
      </c>
      <c r="K19" s="40">
        <f t="shared" si="0"/>
        <v>0</v>
      </c>
      <c r="L19" s="41">
        <f t="shared" si="0"/>
        <v>0</v>
      </c>
      <c r="M19" s="42">
        <f t="shared" si="0"/>
        <v>0</v>
      </c>
      <c r="N19" s="40">
        <f t="shared" si="0"/>
        <v>0</v>
      </c>
      <c r="O19" s="40">
        <f t="shared" si="0"/>
        <v>0</v>
      </c>
      <c r="P19" s="40">
        <f t="shared" si="0"/>
        <v>0</v>
      </c>
      <c r="Q19" s="40">
        <f t="shared" si="0"/>
        <v>0</v>
      </c>
      <c r="R19" s="40">
        <f t="shared" si="0"/>
        <v>0</v>
      </c>
      <c r="S19" s="39">
        <f>SUM(G19:R19)</f>
        <v>0</v>
      </c>
      <c r="T19" s="35"/>
      <c r="U19" s="25"/>
    </row>
    <row r="20" spans="2:21" ht="15" customHeight="1">
      <c r="B20" s="24"/>
      <c r="C20" s="7"/>
      <c r="D20" s="544"/>
      <c r="E20" s="545"/>
      <c r="F20" s="473"/>
      <c r="G20" s="43"/>
      <c r="H20" s="43"/>
      <c r="I20" s="43"/>
      <c r="J20" s="43"/>
      <c r="K20" s="43"/>
      <c r="L20" s="43"/>
      <c r="M20" s="43"/>
      <c r="N20" s="43"/>
      <c r="O20" s="43"/>
      <c r="P20" s="43"/>
      <c r="Q20" s="43"/>
      <c r="R20" s="43"/>
      <c r="S20" s="28"/>
      <c r="T20" s="35"/>
      <c r="U20" s="25"/>
    </row>
    <row r="21" spans="2:21" ht="15" customHeight="1">
      <c r="B21" s="24"/>
      <c r="C21" s="7"/>
      <c r="D21" s="548" t="s">
        <v>130</v>
      </c>
      <c r="E21" s="549"/>
      <c r="F21" s="478"/>
      <c r="G21" s="33"/>
      <c r="H21" s="33"/>
      <c r="I21" s="33"/>
      <c r="J21" s="33"/>
      <c r="K21" s="33"/>
      <c r="L21" s="33"/>
      <c r="M21" s="33"/>
      <c r="N21" s="33"/>
      <c r="O21" s="33"/>
      <c r="P21" s="33"/>
      <c r="Q21" s="33"/>
      <c r="R21" s="33"/>
      <c r="S21" s="50"/>
      <c r="T21" s="35"/>
      <c r="U21" s="25"/>
    </row>
    <row r="22" spans="2:21" ht="15" customHeight="1">
      <c r="B22" s="24"/>
      <c r="C22" s="7"/>
      <c r="D22" s="544" t="s">
        <v>131</v>
      </c>
      <c r="E22" s="545"/>
      <c r="F22" s="478"/>
      <c r="G22" s="36">
        <v>0</v>
      </c>
      <c r="H22" s="36">
        <v>0</v>
      </c>
      <c r="I22" s="36">
        <v>0</v>
      </c>
      <c r="J22" s="36">
        <v>0</v>
      </c>
      <c r="K22" s="36">
        <v>0</v>
      </c>
      <c r="L22" s="37">
        <v>0</v>
      </c>
      <c r="M22" s="38">
        <v>0</v>
      </c>
      <c r="N22" s="36">
        <v>0</v>
      </c>
      <c r="O22" s="36">
        <v>0</v>
      </c>
      <c r="P22" s="36">
        <v>0</v>
      </c>
      <c r="Q22" s="36">
        <v>0</v>
      </c>
      <c r="R22" s="36">
        <v>0</v>
      </c>
      <c r="S22" s="39">
        <f>SUM(G22:R22)</f>
        <v>0</v>
      </c>
      <c r="T22" s="35"/>
      <c r="U22" s="25"/>
    </row>
    <row r="23" spans="2:21" ht="15" customHeight="1">
      <c r="B23" s="24"/>
      <c r="C23" s="7"/>
      <c r="D23" s="544" t="s">
        <v>132</v>
      </c>
      <c r="E23" s="545"/>
      <c r="F23" s="478"/>
      <c r="G23" s="36">
        <v>0</v>
      </c>
      <c r="H23" s="36">
        <v>0</v>
      </c>
      <c r="I23" s="36">
        <v>0</v>
      </c>
      <c r="J23" s="36">
        <v>0</v>
      </c>
      <c r="K23" s="36">
        <v>0</v>
      </c>
      <c r="L23" s="37">
        <v>0</v>
      </c>
      <c r="M23" s="38">
        <v>0</v>
      </c>
      <c r="N23" s="36">
        <v>0</v>
      </c>
      <c r="O23" s="36">
        <v>0</v>
      </c>
      <c r="P23" s="36">
        <v>0</v>
      </c>
      <c r="Q23" s="36">
        <v>0</v>
      </c>
      <c r="R23" s="36">
        <v>0</v>
      </c>
      <c r="S23" s="39">
        <f>SUM(G23:R23)</f>
        <v>0</v>
      </c>
      <c r="T23" s="35"/>
      <c r="U23" s="25"/>
    </row>
    <row r="24" spans="2:21" ht="15" customHeight="1">
      <c r="B24" s="24"/>
      <c r="C24" s="7"/>
      <c r="D24" s="544" t="s">
        <v>133</v>
      </c>
      <c r="E24" s="545"/>
      <c r="F24" s="478"/>
      <c r="G24" s="36">
        <v>0</v>
      </c>
      <c r="H24" s="36">
        <v>0</v>
      </c>
      <c r="I24" s="36">
        <v>0</v>
      </c>
      <c r="J24" s="36">
        <v>0</v>
      </c>
      <c r="K24" s="36">
        <v>0</v>
      </c>
      <c r="L24" s="37">
        <v>0</v>
      </c>
      <c r="M24" s="38">
        <f>200000/6</f>
        <v>33333.333333333336</v>
      </c>
      <c r="N24" s="36">
        <f>M24</f>
        <v>33333.333333333336</v>
      </c>
      <c r="O24" s="36">
        <f>N24</f>
        <v>33333.333333333336</v>
      </c>
      <c r="P24" s="36">
        <f>O24</f>
        <v>33333.333333333336</v>
      </c>
      <c r="Q24" s="36">
        <f>P24</f>
        <v>33333.333333333336</v>
      </c>
      <c r="R24" s="36">
        <f>Q24</f>
        <v>33333.333333333336</v>
      </c>
      <c r="S24" s="39">
        <f>SUM(G24:R24)</f>
        <v>200000.00000000003</v>
      </c>
      <c r="T24" s="35"/>
      <c r="U24" s="25"/>
    </row>
    <row r="25" spans="2:21" ht="15" customHeight="1">
      <c r="B25" s="24"/>
      <c r="C25" s="7"/>
      <c r="D25" s="544"/>
      <c r="E25" s="545"/>
      <c r="F25" s="473"/>
      <c r="G25" s="27"/>
      <c r="H25" s="27"/>
      <c r="I25" s="27"/>
      <c r="J25" s="27"/>
      <c r="K25" s="27"/>
      <c r="L25" s="27"/>
      <c r="M25" s="27"/>
      <c r="N25" s="27"/>
      <c r="O25" s="27"/>
      <c r="P25" s="27"/>
      <c r="Q25" s="27"/>
      <c r="R25" s="27"/>
      <c r="S25" s="27"/>
      <c r="T25" s="35"/>
      <c r="U25" s="25"/>
    </row>
    <row r="26" spans="2:21" ht="15" customHeight="1">
      <c r="B26" s="24"/>
      <c r="C26" s="7"/>
      <c r="D26" s="546" t="s">
        <v>134</v>
      </c>
      <c r="E26" s="547"/>
      <c r="F26" s="478"/>
      <c r="G26" s="44">
        <f t="shared" ref="G26:L26" si="1">SUM(G22:G24)</f>
        <v>0</v>
      </c>
      <c r="H26" s="44">
        <f t="shared" si="1"/>
        <v>0</v>
      </c>
      <c r="I26" s="44">
        <f t="shared" si="1"/>
        <v>0</v>
      </c>
      <c r="J26" s="44">
        <f t="shared" si="1"/>
        <v>0</v>
      </c>
      <c r="K26" s="44">
        <f t="shared" si="1"/>
        <v>0</v>
      </c>
      <c r="L26" s="45">
        <f t="shared" si="1"/>
        <v>0</v>
      </c>
      <c r="M26" s="46">
        <f t="shared" ref="M26:R26" si="2">SUM(M22:M24)</f>
        <v>33333.333333333336</v>
      </c>
      <c r="N26" s="44">
        <f t="shared" si="2"/>
        <v>33333.333333333336</v>
      </c>
      <c r="O26" s="44">
        <f t="shared" si="2"/>
        <v>33333.333333333336</v>
      </c>
      <c r="P26" s="44">
        <f t="shared" si="2"/>
        <v>33333.333333333336</v>
      </c>
      <c r="Q26" s="44">
        <f t="shared" si="2"/>
        <v>33333.333333333336</v>
      </c>
      <c r="R26" s="44">
        <f t="shared" si="2"/>
        <v>33333.333333333336</v>
      </c>
      <c r="S26" s="39">
        <f>SUM(G26:R26)</f>
        <v>200000.00000000003</v>
      </c>
      <c r="T26" s="35"/>
      <c r="U26" s="25"/>
    </row>
    <row r="27" spans="2:21" ht="15" customHeight="1">
      <c r="B27" s="24"/>
      <c r="C27" s="7"/>
      <c r="D27" s="544"/>
      <c r="E27" s="545"/>
      <c r="F27" s="473"/>
      <c r="G27" s="27"/>
      <c r="H27" s="27"/>
      <c r="I27" s="27"/>
      <c r="J27" s="27"/>
      <c r="K27" s="27"/>
      <c r="L27" s="27"/>
      <c r="M27" s="27"/>
      <c r="N27" s="27"/>
      <c r="O27" s="27"/>
      <c r="P27" s="27"/>
      <c r="Q27" s="27"/>
      <c r="R27" s="27"/>
      <c r="S27" s="459"/>
      <c r="T27" s="18"/>
      <c r="U27" s="25"/>
    </row>
    <row r="28" spans="2:21" ht="15" customHeight="1">
      <c r="B28" s="24"/>
      <c r="C28" s="7"/>
      <c r="D28" s="550" t="s">
        <v>135</v>
      </c>
      <c r="E28" s="551"/>
      <c r="F28" s="478"/>
      <c r="G28" s="40">
        <f t="shared" ref="G28:L28" si="3">G19+G26</f>
        <v>0</v>
      </c>
      <c r="H28" s="40">
        <f t="shared" si="3"/>
        <v>0</v>
      </c>
      <c r="I28" s="40">
        <f t="shared" si="3"/>
        <v>0</v>
      </c>
      <c r="J28" s="40">
        <f t="shared" si="3"/>
        <v>0</v>
      </c>
      <c r="K28" s="40">
        <f t="shared" si="3"/>
        <v>0</v>
      </c>
      <c r="L28" s="41">
        <f t="shared" si="3"/>
        <v>0</v>
      </c>
      <c r="M28" s="42">
        <f t="shared" ref="M28:R28" si="4">M19+M26</f>
        <v>33333.333333333336</v>
      </c>
      <c r="N28" s="40">
        <f t="shared" si="4"/>
        <v>33333.333333333336</v>
      </c>
      <c r="O28" s="40">
        <f t="shared" si="4"/>
        <v>33333.333333333336</v>
      </c>
      <c r="P28" s="40">
        <f t="shared" si="4"/>
        <v>33333.333333333336</v>
      </c>
      <c r="Q28" s="40">
        <f t="shared" si="4"/>
        <v>33333.333333333336</v>
      </c>
      <c r="R28" s="40">
        <f t="shared" si="4"/>
        <v>33333.333333333336</v>
      </c>
      <c r="S28" s="39">
        <f>SUM(G28:R28)</f>
        <v>200000.00000000003</v>
      </c>
      <c r="T28" s="35"/>
      <c r="U28" s="25"/>
    </row>
    <row r="29" spans="2:21" ht="15" customHeight="1">
      <c r="B29" s="24"/>
      <c r="C29" s="7"/>
      <c r="D29" s="452"/>
      <c r="E29" s="453"/>
      <c r="F29" s="473"/>
      <c r="G29" s="43"/>
      <c r="H29" s="43"/>
      <c r="I29" s="43"/>
      <c r="J29" s="43"/>
      <c r="K29" s="43"/>
      <c r="L29" s="43"/>
      <c r="M29" s="43"/>
      <c r="N29" s="43"/>
      <c r="O29" s="43"/>
      <c r="P29" s="43"/>
      <c r="Q29" s="43"/>
      <c r="R29" s="43"/>
      <c r="S29" s="28"/>
      <c r="T29" s="35"/>
      <c r="U29" s="25"/>
    </row>
    <row r="30" spans="2:21" ht="15" customHeight="1">
      <c r="B30" s="24"/>
      <c r="C30" s="10"/>
      <c r="D30" s="552" t="s">
        <v>136</v>
      </c>
      <c r="E30" s="553"/>
      <c r="F30" s="473"/>
      <c r="G30" s="47"/>
      <c r="H30" s="47"/>
      <c r="I30" s="47"/>
      <c r="J30" s="47"/>
      <c r="K30" s="47"/>
      <c r="L30" s="47"/>
      <c r="M30" s="47"/>
      <c r="N30" s="47"/>
      <c r="O30" s="47"/>
      <c r="P30" s="47"/>
      <c r="Q30" s="47"/>
      <c r="R30" s="47"/>
      <c r="S30" s="79"/>
      <c r="T30" s="35"/>
      <c r="U30" s="25"/>
    </row>
    <row r="31" spans="2:21" ht="15" customHeight="1">
      <c r="B31" s="24"/>
      <c r="C31" s="10"/>
      <c r="D31" s="554"/>
      <c r="E31" s="555"/>
      <c r="F31" s="479"/>
      <c r="G31" s="47"/>
      <c r="H31" s="47"/>
      <c r="I31" s="47"/>
      <c r="J31" s="47"/>
      <c r="K31" s="47"/>
      <c r="L31" s="47"/>
      <c r="M31" s="47"/>
      <c r="N31" s="47"/>
      <c r="O31" s="47"/>
      <c r="P31" s="47"/>
      <c r="Q31" s="47"/>
      <c r="R31" s="47"/>
      <c r="S31" s="79"/>
      <c r="T31" s="35"/>
      <c r="U31" s="25"/>
    </row>
    <row r="32" spans="2:21" ht="15" customHeight="1">
      <c r="B32" s="24"/>
      <c r="C32" s="7"/>
      <c r="D32" s="556" t="s">
        <v>137</v>
      </c>
      <c r="E32" s="557"/>
      <c r="F32" s="473"/>
      <c r="G32" s="33"/>
      <c r="H32" s="33"/>
      <c r="I32" s="33"/>
      <c r="J32" s="33"/>
      <c r="K32" s="33"/>
      <c r="L32" s="33"/>
      <c r="M32" s="33"/>
      <c r="N32" s="33"/>
      <c r="O32" s="33"/>
      <c r="P32" s="33"/>
      <c r="Q32" s="33"/>
      <c r="R32" s="33"/>
      <c r="S32" s="50"/>
      <c r="T32" s="35"/>
      <c r="U32" s="25"/>
    </row>
    <row r="33" spans="2:21" ht="15" customHeight="1">
      <c r="B33" s="24"/>
      <c r="C33" s="7"/>
      <c r="D33" s="544" t="s">
        <v>138</v>
      </c>
      <c r="E33" s="545"/>
      <c r="F33" s="420"/>
      <c r="G33" s="36">
        <v>0</v>
      </c>
      <c r="H33" s="36">
        <v>0</v>
      </c>
      <c r="I33" s="36">
        <v>0</v>
      </c>
      <c r="J33" s="36">
        <v>0</v>
      </c>
      <c r="K33" s="36">
        <v>0</v>
      </c>
      <c r="L33" s="37">
        <v>0</v>
      </c>
      <c r="M33" s="38">
        <f>85000/6*1.2</f>
        <v>17000</v>
      </c>
      <c r="N33" s="36">
        <f>M33</f>
        <v>17000</v>
      </c>
      <c r="O33" s="36">
        <f>N33</f>
        <v>17000</v>
      </c>
      <c r="P33" s="36">
        <f>O33</f>
        <v>17000</v>
      </c>
      <c r="Q33" s="36">
        <f>P33</f>
        <v>17000</v>
      </c>
      <c r="R33" s="36">
        <f>Q33</f>
        <v>17000</v>
      </c>
      <c r="S33" s="39">
        <f>SUM(G33:R33)</f>
        <v>102000</v>
      </c>
      <c r="T33" s="35"/>
      <c r="U33" s="25"/>
    </row>
    <row r="34" spans="2:21" ht="15" customHeight="1">
      <c r="B34" s="24"/>
      <c r="C34" s="7"/>
      <c r="D34" s="448"/>
      <c r="E34" s="449"/>
      <c r="F34" s="473"/>
      <c r="G34" s="27"/>
      <c r="H34" s="27"/>
      <c r="I34" s="27"/>
      <c r="J34" s="27"/>
      <c r="K34" s="27"/>
      <c r="L34" s="27"/>
      <c r="M34" s="48"/>
      <c r="N34" s="48"/>
      <c r="O34" s="48"/>
      <c r="P34" s="48"/>
      <c r="Q34" s="48"/>
      <c r="R34" s="48"/>
      <c r="S34" s="48"/>
      <c r="T34" s="49"/>
      <c r="U34" s="25"/>
    </row>
    <row r="35" spans="2:21" ht="15" customHeight="1">
      <c r="B35" s="24"/>
      <c r="C35" s="7"/>
      <c r="D35" s="546" t="s">
        <v>139</v>
      </c>
      <c r="E35" s="547"/>
      <c r="F35" s="473"/>
      <c r="G35" s="44">
        <f t="shared" ref="G35:R35" si="5">SUM(G33:G33)</f>
        <v>0</v>
      </c>
      <c r="H35" s="44">
        <f t="shared" si="5"/>
        <v>0</v>
      </c>
      <c r="I35" s="44">
        <f t="shared" si="5"/>
        <v>0</v>
      </c>
      <c r="J35" s="44">
        <f t="shared" si="5"/>
        <v>0</v>
      </c>
      <c r="K35" s="44">
        <f t="shared" si="5"/>
        <v>0</v>
      </c>
      <c r="L35" s="45">
        <f t="shared" si="5"/>
        <v>0</v>
      </c>
      <c r="M35" s="46">
        <f t="shared" si="5"/>
        <v>17000</v>
      </c>
      <c r="N35" s="44">
        <f t="shared" si="5"/>
        <v>17000</v>
      </c>
      <c r="O35" s="44">
        <f t="shared" si="5"/>
        <v>17000</v>
      </c>
      <c r="P35" s="44">
        <f t="shared" si="5"/>
        <v>17000</v>
      </c>
      <c r="Q35" s="44">
        <f t="shared" si="5"/>
        <v>17000</v>
      </c>
      <c r="R35" s="44">
        <f t="shared" si="5"/>
        <v>17000</v>
      </c>
      <c r="S35" s="39">
        <f>SUM(G35:R35)</f>
        <v>102000</v>
      </c>
      <c r="T35" s="35"/>
      <c r="U35" s="25"/>
    </row>
    <row r="36" spans="2:21" ht="15" customHeight="1">
      <c r="B36" s="24"/>
      <c r="C36" s="7"/>
      <c r="D36" s="450"/>
      <c r="E36" s="451"/>
      <c r="F36" s="473"/>
      <c r="G36" s="28"/>
      <c r="H36" s="28"/>
      <c r="I36" s="28"/>
      <c r="J36" s="28"/>
      <c r="K36" s="28"/>
      <c r="L36" s="28"/>
      <c r="M36" s="28"/>
      <c r="N36" s="28"/>
      <c r="O36" s="28"/>
      <c r="P36" s="28"/>
      <c r="Q36" s="28"/>
      <c r="R36" s="28"/>
      <c r="S36" s="17"/>
      <c r="T36" s="18"/>
      <c r="U36" s="25"/>
    </row>
    <row r="37" spans="2:21" ht="15" customHeight="1">
      <c r="B37" s="24"/>
      <c r="C37" s="7"/>
      <c r="D37" s="548" t="s">
        <v>140</v>
      </c>
      <c r="E37" s="549"/>
      <c r="F37" s="473"/>
      <c r="G37" s="33"/>
      <c r="H37" s="33"/>
      <c r="I37" s="33"/>
      <c r="J37" s="33"/>
      <c r="K37" s="33"/>
      <c r="L37" s="33"/>
      <c r="M37" s="33"/>
      <c r="N37" s="33"/>
      <c r="O37" s="33"/>
      <c r="P37" s="33"/>
      <c r="Q37" s="33"/>
      <c r="R37" s="33"/>
      <c r="S37" s="50"/>
      <c r="T37" s="35"/>
      <c r="U37" s="25"/>
    </row>
    <row r="38" spans="2:21" ht="15" customHeight="1">
      <c r="B38" s="24"/>
      <c r="C38" s="7"/>
      <c r="D38" s="544" t="s">
        <v>141</v>
      </c>
      <c r="E38" s="545"/>
      <c r="F38" s="473"/>
      <c r="G38" s="36">
        <v>0</v>
      </c>
      <c r="H38" s="36">
        <v>0</v>
      </c>
      <c r="I38" s="36">
        <v>0</v>
      </c>
      <c r="J38" s="36">
        <v>0</v>
      </c>
      <c r="K38" s="36">
        <v>0</v>
      </c>
      <c r="L38" s="37">
        <v>0</v>
      </c>
      <c r="M38" s="38">
        <v>0</v>
      </c>
      <c r="N38" s="36">
        <v>0</v>
      </c>
      <c r="O38" s="36">
        <v>0</v>
      </c>
      <c r="P38" s="36">
        <v>0</v>
      </c>
      <c r="Q38" s="36">
        <v>0</v>
      </c>
      <c r="R38" s="36">
        <v>0</v>
      </c>
      <c r="S38" s="39">
        <f t="shared" ref="S38:S45" si="6">SUM(G38:R38)</f>
        <v>0</v>
      </c>
      <c r="T38" s="35"/>
      <c r="U38" s="25"/>
    </row>
    <row r="39" spans="2:21" ht="15" customHeight="1">
      <c r="B39" s="24"/>
      <c r="C39" s="7"/>
      <c r="D39" s="544" t="s">
        <v>142</v>
      </c>
      <c r="E39" s="545"/>
      <c r="F39" s="473"/>
      <c r="G39" s="36">
        <v>0</v>
      </c>
      <c r="H39" s="36">
        <v>0</v>
      </c>
      <c r="I39" s="36">
        <v>0</v>
      </c>
      <c r="J39" s="36">
        <v>0</v>
      </c>
      <c r="K39" s="36">
        <v>0</v>
      </c>
      <c r="L39" s="37">
        <v>0</v>
      </c>
      <c r="M39" s="38">
        <v>0</v>
      </c>
      <c r="N39" s="36">
        <v>0</v>
      </c>
      <c r="O39" s="36">
        <v>0</v>
      </c>
      <c r="P39" s="36">
        <v>0</v>
      </c>
      <c r="Q39" s="36">
        <v>0</v>
      </c>
      <c r="R39" s="36">
        <v>0</v>
      </c>
      <c r="S39" s="39">
        <f t="shared" si="6"/>
        <v>0</v>
      </c>
      <c r="T39" s="35"/>
      <c r="U39" s="25"/>
    </row>
    <row r="40" spans="2:21" ht="15" customHeight="1">
      <c r="B40" s="24"/>
      <c r="C40" s="7"/>
      <c r="D40" s="544" t="s">
        <v>143</v>
      </c>
      <c r="E40" s="545"/>
      <c r="F40" s="473"/>
      <c r="G40" s="36">
        <v>0</v>
      </c>
      <c r="H40" s="36">
        <v>0</v>
      </c>
      <c r="I40" s="36">
        <v>0</v>
      </c>
      <c r="J40" s="36">
        <v>0</v>
      </c>
      <c r="K40" s="36">
        <v>0</v>
      </c>
      <c r="L40" s="37">
        <v>0</v>
      </c>
      <c r="M40" s="38">
        <v>0</v>
      </c>
      <c r="N40" s="36">
        <v>0</v>
      </c>
      <c r="O40" s="36">
        <v>0</v>
      </c>
      <c r="P40" s="36">
        <v>0</v>
      </c>
      <c r="Q40" s="36">
        <v>0</v>
      </c>
      <c r="R40" s="36">
        <v>0</v>
      </c>
      <c r="S40" s="39">
        <f t="shared" si="6"/>
        <v>0</v>
      </c>
      <c r="T40" s="35"/>
      <c r="U40" s="25"/>
    </row>
    <row r="41" spans="2:21" ht="15" customHeight="1">
      <c r="B41" s="24"/>
      <c r="C41" s="7"/>
      <c r="D41" s="544" t="s">
        <v>144</v>
      </c>
      <c r="E41" s="545"/>
      <c r="F41" s="473"/>
      <c r="G41" s="36">
        <v>0</v>
      </c>
      <c r="H41" s="36">
        <v>0</v>
      </c>
      <c r="I41" s="36">
        <v>0</v>
      </c>
      <c r="J41" s="36">
        <v>0</v>
      </c>
      <c r="K41" s="36">
        <v>0</v>
      </c>
      <c r="L41" s="37">
        <v>0</v>
      </c>
      <c r="M41" s="38">
        <v>0</v>
      </c>
      <c r="N41" s="36">
        <v>0</v>
      </c>
      <c r="O41" s="36">
        <v>0</v>
      </c>
      <c r="P41" s="36">
        <v>0</v>
      </c>
      <c r="Q41" s="36">
        <v>0</v>
      </c>
      <c r="R41" s="36">
        <v>0</v>
      </c>
      <c r="S41" s="39">
        <f t="shared" si="6"/>
        <v>0</v>
      </c>
      <c r="T41" s="35"/>
      <c r="U41" s="25"/>
    </row>
    <row r="42" spans="2:21" ht="15" customHeight="1">
      <c r="B42" s="24"/>
      <c r="C42" s="7"/>
      <c r="D42" s="544" t="s">
        <v>145</v>
      </c>
      <c r="E42" s="545"/>
      <c r="F42" s="473"/>
      <c r="G42" s="36">
        <v>0</v>
      </c>
      <c r="H42" s="36">
        <v>0</v>
      </c>
      <c r="I42" s="36">
        <v>0</v>
      </c>
      <c r="J42" s="36">
        <v>0</v>
      </c>
      <c r="K42" s="36">
        <v>0</v>
      </c>
      <c r="L42" s="37">
        <v>0</v>
      </c>
      <c r="M42" s="38">
        <v>0</v>
      </c>
      <c r="N42" s="36">
        <v>0</v>
      </c>
      <c r="O42" s="36">
        <v>0</v>
      </c>
      <c r="P42" s="36">
        <v>0</v>
      </c>
      <c r="Q42" s="36">
        <v>0</v>
      </c>
      <c r="R42" s="36">
        <v>0</v>
      </c>
      <c r="S42" s="39">
        <f t="shared" si="6"/>
        <v>0</v>
      </c>
      <c r="T42" s="35"/>
      <c r="U42" s="25"/>
    </row>
    <row r="43" spans="2:21" ht="15" customHeight="1">
      <c r="B43" s="24"/>
      <c r="C43" s="8"/>
      <c r="D43" s="544" t="s">
        <v>146</v>
      </c>
      <c r="E43" s="545"/>
      <c r="F43" s="479"/>
      <c r="G43" s="36">
        <v>0</v>
      </c>
      <c r="H43" s="36">
        <v>0</v>
      </c>
      <c r="I43" s="36">
        <v>0</v>
      </c>
      <c r="J43" s="36">
        <v>0</v>
      </c>
      <c r="K43" s="36">
        <v>0</v>
      </c>
      <c r="L43" s="37">
        <v>0</v>
      </c>
      <c r="M43" s="38">
        <v>0</v>
      </c>
      <c r="N43" s="36">
        <v>0</v>
      </c>
      <c r="O43" s="36">
        <v>0</v>
      </c>
      <c r="P43" s="36">
        <v>0</v>
      </c>
      <c r="Q43" s="36">
        <v>0</v>
      </c>
      <c r="R43" s="36">
        <v>0</v>
      </c>
      <c r="S43" s="39">
        <f t="shared" si="6"/>
        <v>0</v>
      </c>
      <c r="T43" s="35"/>
      <c r="U43" s="25"/>
    </row>
    <row r="44" spans="2:21" ht="15" customHeight="1">
      <c r="B44" s="24"/>
      <c r="C44" s="7"/>
      <c r="D44" s="544" t="s">
        <v>147</v>
      </c>
      <c r="E44" s="545"/>
      <c r="F44" s="473"/>
      <c r="G44" s="36">
        <v>0</v>
      </c>
      <c r="H44" s="36">
        <v>0</v>
      </c>
      <c r="I44" s="36">
        <v>0</v>
      </c>
      <c r="J44" s="36">
        <v>0</v>
      </c>
      <c r="K44" s="36">
        <v>0</v>
      </c>
      <c r="L44" s="37">
        <v>0</v>
      </c>
      <c r="M44" s="38">
        <v>0</v>
      </c>
      <c r="N44" s="36">
        <v>0</v>
      </c>
      <c r="O44" s="36">
        <v>0</v>
      </c>
      <c r="P44" s="36">
        <v>0</v>
      </c>
      <c r="Q44" s="36">
        <v>0</v>
      </c>
      <c r="R44" s="36">
        <v>0</v>
      </c>
      <c r="S44" s="39">
        <f t="shared" si="6"/>
        <v>0</v>
      </c>
      <c r="T44" s="35"/>
      <c r="U44" s="25"/>
    </row>
    <row r="45" spans="2:21" ht="15" customHeight="1">
      <c r="B45" s="24"/>
      <c r="C45" s="7"/>
      <c r="D45" s="544" t="s">
        <v>148</v>
      </c>
      <c r="E45" s="545"/>
      <c r="F45" s="420"/>
      <c r="G45" s="36">
        <v>0</v>
      </c>
      <c r="H45" s="36">
        <v>0</v>
      </c>
      <c r="I45" s="36">
        <v>0</v>
      </c>
      <c r="J45" s="36">
        <v>0</v>
      </c>
      <c r="K45" s="36">
        <v>0</v>
      </c>
      <c r="L45" s="37">
        <v>0</v>
      </c>
      <c r="M45" s="38">
        <v>0</v>
      </c>
      <c r="N45" s="36">
        <v>0</v>
      </c>
      <c r="O45" s="36">
        <v>0</v>
      </c>
      <c r="P45" s="36">
        <v>0</v>
      </c>
      <c r="Q45" s="36">
        <v>0</v>
      </c>
      <c r="R45" s="36">
        <v>0</v>
      </c>
      <c r="S45" s="39">
        <f t="shared" si="6"/>
        <v>0</v>
      </c>
      <c r="T45" s="35"/>
      <c r="U45" s="25"/>
    </row>
    <row r="46" spans="2:21" ht="15" customHeight="1">
      <c r="B46" s="24"/>
      <c r="C46" s="7"/>
      <c r="D46" s="448"/>
      <c r="E46" s="449"/>
      <c r="F46" s="473"/>
      <c r="G46" s="51"/>
      <c r="H46" s="51"/>
      <c r="I46" s="51"/>
      <c r="J46" s="51"/>
      <c r="K46" s="51"/>
      <c r="L46" s="51"/>
      <c r="M46" s="51"/>
      <c r="N46" s="51"/>
      <c r="O46" s="51"/>
      <c r="P46" s="51"/>
      <c r="Q46" s="51"/>
      <c r="R46" s="51"/>
      <c r="S46" s="27"/>
      <c r="T46" s="35"/>
      <c r="U46" s="25"/>
    </row>
    <row r="47" spans="2:21" ht="15" customHeight="1">
      <c r="B47" s="24"/>
      <c r="C47" s="7"/>
      <c r="D47" s="546" t="s">
        <v>149</v>
      </c>
      <c r="E47" s="547"/>
      <c r="F47" s="473"/>
      <c r="G47" s="40">
        <f t="shared" ref="G47:L47" si="7">SUM(G38:G45)</f>
        <v>0</v>
      </c>
      <c r="H47" s="40">
        <f t="shared" si="7"/>
        <v>0</v>
      </c>
      <c r="I47" s="40">
        <f t="shared" si="7"/>
        <v>0</v>
      </c>
      <c r="J47" s="40">
        <f t="shared" si="7"/>
        <v>0</v>
      </c>
      <c r="K47" s="40">
        <f t="shared" si="7"/>
        <v>0</v>
      </c>
      <c r="L47" s="41">
        <f t="shared" si="7"/>
        <v>0</v>
      </c>
      <c r="M47" s="42">
        <f t="shared" ref="M47:R47" si="8">SUM(M38:M45)</f>
        <v>0</v>
      </c>
      <c r="N47" s="40">
        <f t="shared" si="8"/>
        <v>0</v>
      </c>
      <c r="O47" s="40">
        <f t="shared" si="8"/>
        <v>0</v>
      </c>
      <c r="P47" s="40">
        <f t="shared" si="8"/>
        <v>0</v>
      </c>
      <c r="Q47" s="40">
        <f t="shared" si="8"/>
        <v>0</v>
      </c>
      <c r="R47" s="40">
        <f t="shared" si="8"/>
        <v>0</v>
      </c>
      <c r="S47" s="39">
        <f>SUM(G47:R47)</f>
        <v>0</v>
      </c>
      <c r="T47" s="35"/>
      <c r="U47" s="25"/>
    </row>
    <row r="48" spans="2:21" ht="15" customHeight="1">
      <c r="B48" s="24"/>
      <c r="C48" s="7"/>
      <c r="D48" s="448"/>
      <c r="E48" s="449"/>
      <c r="F48" s="473"/>
      <c r="G48" s="43"/>
      <c r="H48" s="43"/>
      <c r="I48" s="43"/>
      <c r="J48" s="43"/>
      <c r="K48" s="43"/>
      <c r="L48" s="43"/>
      <c r="M48" s="43"/>
      <c r="N48" s="43"/>
      <c r="O48" s="43"/>
      <c r="P48" s="43"/>
      <c r="Q48" s="43"/>
      <c r="R48" s="43"/>
      <c r="S48" s="28"/>
      <c r="T48" s="35"/>
      <c r="U48" s="25"/>
    </row>
    <row r="49" spans="2:21" ht="15" customHeight="1">
      <c r="B49" s="24"/>
      <c r="C49" s="7"/>
      <c r="D49" s="548" t="s">
        <v>150</v>
      </c>
      <c r="E49" s="549"/>
      <c r="F49" s="473"/>
      <c r="G49" s="33"/>
      <c r="H49" s="33"/>
      <c r="I49" s="33"/>
      <c r="J49" s="33"/>
      <c r="K49" s="33"/>
      <c r="L49" s="33"/>
      <c r="M49" s="33"/>
      <c r="N49" s="33"/>
      <c r="O49" s="33"/>
      <c r="P49" s="33"/>
      <c r="Q49" s="33"/>
      <c r="R49" s="33"/>
      <c r="S49" s="50"/>
      <c r="T49" s="35"/>
      <c r="U49" s="25"/>
    </row>
    <row r="50" spans="2:21" ht="15" customHeight="1">
      <c r="B50" s="24"/>
      <c r="C50" s="7"/>
      <c r="D50" s="544" t="s">
        <v>151</v>
      </c>
      <c r="E50" s="545"/>
      <c r="F50" s="473"/>
      <c r="G50" s="36">
        <v>0</v>
      </c>
      <c r="H50" s="36">
        <v>0</v>
      </c>
      <c r="I50" s="36">
        <v>0</v>
      </c>
      <c r="J50" s="36">
        <v>0</v>
      </c>
      <c r="K50" s="36">
        <v>0</v>
      </c>
      <c r="L50" s="37">
        <v>0</v>
      </c>
      <c r="M50" s="38">
        <v>4000</v>
      </c>
      <c r="N50" s="38">
        <v>0</v>
      </c>
      <c r="O50" s="38">
        <v>0</v>
      </c>
      <c r="P50" s="38">
        <v>0</v>
      </c>
      <c r="Q50" s="38">
        <v>0</v>
      </c>
      <c r="R50" s="38">
        <v>0</v>
      </c>
      <c r="S50" s="39">
        <f>SUM(G50:R50)</f>
        <v>4000</v>
      </c>
      <c r="T50" s="35"/>
      <c r="U50" s="25"/>
    </row>
    <row r="51" spans="2:21" ht="15" customHeight="1">
      <c r="B51" s="24"/>
      <c r="C51" s="7"/>
      <c r="D51" s="544" t="s">
        <v>152</v>
      </c>
      <c r="E51" s="545"/>
      <c r="F51" s="473"/>
      <c r="G51" s="36">
        <v>0</v>
      </c>
      <c r="H51" s="36">
        <v>0</v>
      </c>
      <c r="I51" s="36">
        <v>0</v>
      </c>
      <c r="J51" s="36">
        <v>0</v>
      </c>
      <c r="K51" s="36">
        <v>0</v>
      </c>
      <c r="L51" s="37">
        <v>0</v>
      </c>
      <c r="M51" s="38">
        <v>2000</v>
      </c>
      <c r="N51" s="38">
        <v>0</v>
      </c>
      <c r="O51" s="38">
        <v>0</v>
      </c>
      <c r="P51" s="38">
        <v>0</v>
      </c>
      <c r="Q51" s="38">
        <v>0</v>
      </c>
      <c r="R51" s="38">
        <v>0</v>
      </c>
      <c r="S51" s="39">
        <f>SUM(G51:R51)</f>
        <v>2000</v>
      </c>
      <c r="T51" s="35"/>
      <c r="U51" s="25"/>
    </row>
    <row r="52" spans="2:21" ht="15" customHeight="1">
      <c r="B52" s="24"/>
      <c r="C52" s="7"/>
      <c r="D52" s="448"/>
      <c r="E52" s="449"/>
      <c r="F52" s="479"/>
      <c r="G52" s="51"/>
      <c r="H52" s="51"/>
      <c r="I52" s="51"/>
      <c r="J52" s="51"/>
      <c r="K52" s="51"/>
      <c r="L52" s="51"/>
      <c r="M52" s="51"/>
      <c r="N52" s="51"/>
      <c r="O52" s="51"/>
      <c r="P52" s="51"/>
      <c r="Q52" s="51"/>
      <c r="R52" s="51"/>
      <c r="S52" s="27"/>
      <c r="T52" s="35"/>
      <c r="U52" s="25"/>
    </row>
    <row r="53" spans="2:21" ht="15" customHeight="1">
      <c r="B53" s="24"/>
      <c r="C53" s="7"/>
      <c r="D53" s="546" t="s">
        <v>153</v>
      </c>
      <c r="E53" s="547"/>
      <c r="F53" s="473"/>
      <c r="G53" s="40">
        <f t="shared" ref="G53:R53" si="9">SUM(G50:G51)</f>
        <v>0</v>
      </c>
      <c r="H53" s="40">
        <f t="shared" si="9"/>
        <v>0</v>
      </c>
      <c r="I53" s="40">
        <f t="shared" si="9"/>
        <v>0</v>
      </c>
      <c r="J53" s="40">
        <f t="shared" si="9"/>
        <v>0</v>
      </c>
      <c r="K53" s="40">
        <f t="shared" si="9"/>
        <v>0</v>
      </c>
      <c r="L53" s="41">
        <f t="shared" si="9"/>
        <v>0</v>
      </c>
      <c r="M53" s="42">
        <f t="shared" si="9"/>
        <v>6000</v>
      </c>
      <c r="N53" s="40">
        <f t="shared" si="9"/>
        <v>0</v>
      </c>
      <c r="O53" s="40">
        <f t="shared" si="9"/>
        <v>0</v>
      </c>
      <c r="P53" s="40">
        <f t="shared" si="9"/>
        <v>0</v>
      </c>
      <c r="Q53" s="40">
        <f t="shared" si="9"/>
        <v>0</v>
      </c>
      <c r="R53" s="40">
        <f t="shared" si="9"/>
        <v>0</v>
      </c>
      <c r="S53" s="39">
        <f>SUM(G53:R53)</f>
        <v>6000</v>
      </c>
      <c r="T53" s="35"/>
      <c r="U53" s="25"/>
    </row>
    <row r="54" spans="2:21" ht="15" customHeight="1">
      <c r="B54" s="24"/>
      <c r="C54" s="7"/>
      <c r="D54" s="448"/>
      <c r="E54" s="449"/>
      <c r="F54" s="480"/>
      <c r="G54" s="43"/>
      <c r="H54" s="43"/>
      <c r="I54" s="43"/>
      <c r="J54" s="43"/>
      <c r="K54" s="43"/>
      <c r="L54" s="43"/>
      <c r="M54" s="43"/>
      <c r="N54" s="43"/>
      <c r="O54" s="43"/>
      <c r="P54" s="43"/>
      <c r="Q54" s="43"/>
      <c r="R54" s="43"/>
      <c r="S54" s="28"/>
      <c r="T54" s="35"/>
      <c r="U54" s="25"/>
    </row>
    <row r="55" spans="2:21" ht="15" customHeight="1">
      <c r="B55" s="24"/>
      <c r="C55" s="7"/>
      <c r="D55" s="548" t="s">
        <v>154</v>
      </c>
      <c r="E55" s="549"/>
      <c r="F55" s="473"/>
      <c r="G55" s="33"/>
      <c r="H55" s="33"/>
      <c r="I55" s="33"/>
      <c r="J55" s="33"/>
      <c r="K55" s="33"/>
      <c r="L55" s="33"/>
      <c r="M55" s="33"/>
      <c r="N55" s="33"/>
      <c r="O55" s="33"/>
      <c r="P55" s="33"/>
      <c r="Q55" s="33"/>
      <c r="R55" s="33"/>
      <c r="S55" s="50"/>
      <c r="T55" s="35"/>
      <c r="U55" s="25"/>
    </row>
    <row r="56" spans="2:21" ht="15" customHeight="1">
      <c r="B56" s="24"/>
      <c r="C56" s="7"/>
      <c r="D56" s="544" t="s">
        <v>155</v>
      </c>
      <c r="E56" s="545"/>
      <c r="F56" s="481"/>
      <c r="G56" s="36">
        <v>0</v>
      </c>
      <c r="H56" s="36">
        <v>0</v>
      </c>
      <c r="I56" s="36">
        <v>0</v>
      </c>
      <c r="J56" s="36">
        <v>0</v>
      </c>
      <c r="K56" s="36">
        <v>0</v>
      </c>
      <c r="L56" s="37">
        <v>0</v>
      </c>
      <c r="M56" s="38">
        <v>1000</v>
      </c>
      <c r="N56" s="36">
        <v>0</v>
      </c>
      <c r="O56" s="36">
        <v>0</v>
      </c>
      <c r="P56" s="36">
        <v>1000</v>
      </c>
      <c r="Q56" s="36">
        <v>0</v>
      </c>
      <c r="R56" s="36">
        <v>0</v>
      </c>
      <c r="S56" s="39">
        <f>SUM(G56:R56)</f>
        <v>2000</v>
      </c>
      <c r="T56" s="35"/>
      <c r="U56" s="25"/>
    </row>
    <row r="57" spans="2:21" ht="15" customHeight="1">
      <c r="B57" s="24"/>
      <c r="C57" s="7"/>
      <c r="D57" s="544" t="s">
        <v>156</v>
      </c>
      <c r="E57" s="545"/>
      <c r="F57" s="473"/>
      <c r="G57" s="36">
        <v>0</v>
      </c>
      <c r="H57" s="36">
        <v>0</v>
      </c>
      <c r="I57" s="36">
        <v>0</v>
      </c>
      <c r="J57" s="36">
        <v>0</v>
      </c>
      <c r="K57" s="36">
        <v>0</v>
      </c>
      <c r="L57" s="37">
        <v>0</v>
      </c>
      <c r="M57" s="38">
        <v>1000</v>
      </c>
      <c r="N57" s="36">
        <v>1000</v>
      </c>
      <c r="O57" s="36">
        <v>1000</v>
      </c>
      <c r="P57" s="36">
        <v>1000</v>
      </c>
      <c r="Q57" s="36">
        <v>1000</v>
      </c>
      <c r="R57" s="36">
        <v>1000</v>
      </c>
      <c r="S57" s="39">
        <f>SUM(G57:R57)</f>
        <v>6000</v>
      </c>
      <c r="T57" s="35"/>
      <c r="U57" s="25"/>
    </row>
    <row r="58" spans="2:21" ht="15" customHeight="1">
      <c r="B58" s="24"/>
      <c r="C58" s="7"/>
      <c r="D58" s="448"/>
      <c r="E58" s="449"/>
      <c r="F58" s="473"/>
      <c r="G58" s="27"/>
      <c r="H58" s="27"/>
      <c r="I58" s="27"/>
      <c r="J58" s="27"/>
      <c r="K58" s="27"/>
      <c r="L58" s="27"/>
      <c r="M58" s="27"/>
      <c r="N58" s="27"/>
      <c r="O58" s="27"/>
      <c r="P58" s="27"/>
      <c r="Q58" s="27"/>
      <c r="R58" s="27"/>
      <c r="S58" s="459"/>
      <c r="T58" s="35"/>
      <c r="U58" s="25"/>
    </row>
    <row r="59" spans="2:21" ht="15" customHeight="1">
      <c r="B59" s="24"/>
      <c r="C59" s="7"/>
      <c r="D59" s="546" t="s">
        <v>157</v>
      </c>
      <c r="E59" s="547"/>
      <c r="F59" s="420"/>
      <c r="G59" s="40">
        <f t="shared" ref="G59:R59" si="10">SUM(G56:G57)</f>
        <v>0</v>
      </c>
      <c r="H59" s="40">
        <f t="shared" si="10"/>
        <v>0</v>
      </c>
      <c r="I59" s="40">
        <f t="shared" si="10"/>
        <v>0</v>
      </c>
      <c r="J59" s="40">
        <f t="shared" si="10"/>
        <v>0</v>
      </c>
      <c r="K59" s="40">
        <f t="shared" si="10"/>
        <v>0</v>
      </c>
      <c r="L59" s="41">
        <f t="shared" si="10"/>
        <v>0</v>
      </c>
      <c r="M59" s="42">
        <f t="shared" si="10"/>
        <v>2000</v>
      </c>
      <c r="N59" s="40">
        <f t="shared" si="10"/>
        <v>1000</v>
      </c>
      <c r="O59" s="40">
        <f t="shared" si="10"/>
        <v>1000</v>
      </c>
      <c r="P59" s="40">
        <f t="shared" si="10"/>
        <v>2000</v>
      </c>
      <c r="Q59" s="40">
        <f t="shared" si="10"/>
        <v>1000</v>
      </c>
      <c r="R59" s="40">
        <f t="shared" si="10"/>
        <v>1000</v>
      </c>
      <c r="S59" s="39">
        <f>SUM(G59:R59)</f>
        <v>8000</v>
      </c>
      <c r="T59" s="35"/>
      <c r="U59" s="25"/>
    </row>
    <row r="60" spans="2:21" ht="15" customHeight="1">
      <c r="B60" s="24"/>
      <c r="C60" s="7"/>
      <c r="D60" s="448"/>
      <c r="E60" s="449"/>
      <c r="F60" s="473"/>
      <c r="G60" s="43"/>
      <c r="H60" s="43"/>
      <c r="I60" s="43"/>
      <c r="J60" s="43"/>
      <c r="K60" s="43"/>
      <c r="L60" s="43"/>
      <c r="M60" s="43"/>
      <c r="N60" s="43"/>
      <c r="O60" s="43"/>
      <c r="P60" s="43"/>
      <c r="Q60" s="43"/>
      <c r="R60" s="43"/>
      <c r="S60" s="28"/>
      <c r="T60" s="35"/>
      <c r="U60" s="25"/>
    </row>
    <row r="61" spans="2:21" ht="15" customHeight="1">
      <c r="B61" s="24"/>
      <c r="C61" s="7"/>
      <c r="D61" s="548" t="s">
        <v>158</v>
      </c>
      <c r="E61" s="549"/>
      <c r="F61" s="473"/>
      <c r="G61" s="33"/>
      <c r="H61" s="33"/>
      <c r="I61" s="33"/>
      <c r="J61" s="33"/>
      <c r="K61" s="33"/>
      <c r="L61" s="33"/>
      <c r="M61" s="33"/>
      <c r="N61" s="33"/>
      <c r="O61" s="33"/>
      <c r="P61" s="33"/>
      <c r="Q61" s="33"/>
      <c r="R61" s="33"/>
      <c r="S61" s="50"/>
      <c r="T61" s="35"/>
      <c r="U61" s="25"/>
    </row>
    <row r="62" spans="2:21" ht="15" customHeight="1">
      <c r="B62" s="24"/>
      <c r="C62" s="7"/>
      <c r="D62" s="544" t="s">
        <v>159</v>
      </c>
      <c r="E62" s="545"/>
      <c r="F62" s="473"/>
      <c r="G62" s="36">
        <v>0</v>
      </c>
      <c r="H62" s="36">
        <v>0</v>
      </c>
      <c r="I62" s="36">
        <v>0</v>
      </c>
      <c r="J62" s="36">
        <v>0</v>
      </c>
      <c r="K62" s="36">
        <v>0</v>
      </c>
      <c r="L62" s="37">
        <v>0</v>
      </c>
      <c r="M62" s="38">
        <v>0</v>
      </c>
      <c r="N62" s="36">
        <v>0</v>
      </c>
      <c r="O62" s="36">
        <v>0</v>
      </c>
      <c r="P62" s="36">
        <v>0</v>
      </c>
      <c r="Q62" s="36">
        <v>0</v>
      </c>
      <c r="R62" s="36">
        <v>0</v>
      </c>
      <c r="S62" s="39">
        <f t="shared" ref="S62:S75" si="11">SUM(G62:R62)</f>
        <v>0</v>
      </c>
      <c r="T62" s="35"/>
      <c r="U62" s="25"/>
    </row>
    <row r="63" spans="2:21" ht="15" customHeight="1">
      <c r="B63" s="24"/>
      <c r="C63" s="7"/>
      <c r="D63" s="544" t="s">
        <v>160</v>
      </c>
      <c r="E63" s="545"/>
      <c r="F63" s="473"/>
      <c r="G63" s="36">
        <v>0</v>
      </c>
      <c r="H63" s="36">
        <v>0</v>
      </c>
      <c r="I63" s="36">
        <v>0</v>
      </c>
      <c r="J63" s="36">
        <v>0</v>
      </c>
      <c r="K63" s="36">
        <v>0</v>
      </c>
      <c r="L63" s="37">
        <v>0</v>
      </c>
      <c r="M63" s="38">
        <v>300</v>
      </c>
      <c r="N63" s="36">
        <f>M63</f>
        <v>300</v>
      </c>
      <c r="O63" s="36">
        <f>N63</f>
        <v>300</v>
      </c>
      <c r="P63" s="36">
        <f>O63</f>
        <v>300</v>
      </c>
      <c r="Q63" s="36">
        <f>P63</f>
        <v>300</v>
      </c>
      <c r="R63" s="36">
        <f>Q63</f>
        <v>300</v>
      </c>
      <c r="S63" s="39">
        <f t="shared" si="11"/>
        <v>1800</v>
      </c>
      <c r="T63" s="35"/>
      <c r="U63" s="25"/>
    </row>
    <row r="64" spans="2:21" ht="15" customHeight="1">
      <c r="B64" s="24"/>
      <c r="C64" s="7"/>
      <c r="D64" s="544" t="s">
        <v>161</v>
      </c>
      <c r="E64" s="545"/>
      <c r="F64" s="473"/>
      <c r="G64" s="36">
        <v>0</v>
      </c>
      <c r="H64" s="36">
        <v>0</v>
      </c>
      <c r="I64" s="36">
        <v>0</v>
      </c>
      <c r="J64" s="36">
        <v>0</v>
      </c>
      <c r="K64" s="36">
        <v>0</v>
      </c>
      <c r="L64" s="37">
        <v>0</v>
      </c>
      <c r="M64" s="38">
        <v>0</v>
      </c>
      <c r="N64" s="36">
        <v>0</v>
      </c>
      <c r="O64" s="36">
        <v>0</v>
      </c>
      <c r="P64" s="36">
        <v>0</v>
      </c>
      <c r="Q64" s="36">
        <v>0</v>
      </c>
      <c r="R64" s="36">
        <v>0</v>
      </c>
      <c r="S64" s="39">
        <f t="shared" si="11"/>
        <v>0</v>
      </c>
      <c r="T64" s="35"/>
      <c r="U64" s="25"/>
    </row>
    <row r="65" spans="2:21" ht="15" customHeight="1">
      <c r="B65" s="24"/>
      <c r="C65" s="7"/>
      <c r="D65" s="544" t="s">
        <v>162</v>
      </c>
      <c r="E65" s="545"/>
      <c r="F65" s="479"/>
      <c r="G65" s="36">
        <v>0</v>
      </c>
      <c r="H65" s="36">
        <v>0</v>
      </c>
      <c r="I65" s="36">
        <v>0</v>
      </c>
      <c r="J65" s="36">
        <v>0</v>
      </c>
      <c r="K65" s="36">
        <v>0</v>
      </c>
      <c r="L65" s="37">
        <v>0</v>
      </c>
      <c r="M65" s="38">
        <v>0</v>
      </c>
      <c r="N65" s="36">
        <v>0</v>
      </c>
      <c r="O65" s="36">
        <v>0</v>
      </c>
      <c r="P65" s="36">
        <v>0</v>
      </c>
      <c r="Q65" s="36">
        <v>0</v>
      </c>
      <c r="R65" s="36">
        <v>0</v>
      </c>
      <c r="S65" s="39">
        <f t="shared" si="11"/>
        <v>0</v>
      </c>
      <c r="T65" s="35"/>
      <c r="U65" s="25"/>
    </row>
    <row r="66" spans="2:21" ht="15" customHeight="1">
      <c r="B66" s="24"/>
      <c r="C66" s="7"/>
      <c r="D66" s="544" t="s">
        <v>163</v>
      </c>
      <c r="E66" s="545"/>
      <c r="F66" s="420"/>
      <c r="G66" s="36">
        <v>0</v>
      </c>
      <c r="H66" s="36">
        <v>0</v>
      </c>
      <c r="I66" s="36">
        <v>0</v>
      </c>
      <c r="J66" s="36">
        <v>0</v>
      </c>
      <c r="K66" s="36">
        <v>0</v>
      </c>
      <c r="L66" s="37">
        <v>0</v>
      </c>
      <c r="M66" s="38">
        <v>500</v>
      </c>
      <c r="N66" s="36">
        <f>M66</f>
        <v>500</v>
      </c>
      <c r="O66" s="36">
        <f>N66</f>
        <v>500</v>
      </c>
      <c r="P66" s="36">
        <f>O66</f>
        <v>500</v>
      </c>
      <c r="Q66" s="36">
        <f>P66</f>
        <v>500</v>
      </c>
      <c r="R66" s="36">
        <f>Q66</f>
        <v>500</v>
      </c>
      <c r="S66" s="39">
        <f t="shared" si="11"/>
        <v>3000</v>
      </c>
      <c r="T66" s="18"/>
      <c r="U66" s="25"/>
    </row>
    <row r="67" spans="2:21" ht="15" customHeight="1">
      <c r="B67" s="24"/>
      <c r="C67" s="7"/>
      <c r="D67" s="544" t="s">
        <v>164</v>
      </c>
      <c r="E67" s="545"/>
      <c r="F67" s="420"/>
      <c r="G67" s="36">
        <v>0</v>
      </c>
      <c r="H67" s="36">
        <v>0</v>
      </c>
      <c r="I67" s="36">
        <v>0</v>
      </c>
      <c r="J67" s="36">
        <v>0</v>
      </c>
      <c r="K67" s="36">
        <v>0</v>
      </c>
      <c r="L67" s="37">
        <v>0</v>
      </c>
      <c r="M67" s="38">
        <v>0</v>
      </c>
      <c r="N67" s="36">
        <v>0</v>
      </c>
      <c r="O67" s="36">
        <v>0</v>
      </c>
      <c r="P67" s="36">
        <v>0</v>
      </c>
      <c r="Q67" s="36">
        <v>0</v>
      </c>
      <c r="R67" s="36">
        <v>0</v>
      </c>
      <c r="S67" s="39">
        <f t="shared" si="11"/>
        <v>0</v>
      </c>
      <c r="T67" s="35"/>
      <c r="U67" s="25"/>
    </row>
    <row r="68" spans="2:21" ht="15" customHeight="1">
      <c r="B68" s="24"/>
      <c r="C68" s="7"/>
      <c r="D68" s="544" t="s">
        <v>165</v>
      </c>
      <c r="E68" s="545"/>
      <c r="F68" s="473"/>
      <c r="G68" s="36">
        <v>0</v>
      </c>
      <c r="H68" s="36">
        <v>0</v>
      </c>
      <c r="I68" s="36">
        <v>0</v>
      </c>
      <c r="J68" s="36">
        <v>0</v>
      </c>
      <c r="K68" s="36">
        <v>0</v>
      </c>
      <c r="L68" s="37">
        <v>0</v>
      </c>
      <c r="M68" s="38">
        <v>500</v>
      </c>
      <c r="N68" s="36">
        <v>500</v>
      </c>
      <c r="O68" s="36">
        <v>500</v>
      </c>
      <c r="P68" s="36">
        <v>500</v>
      </c>
      <c r="Q68" s="36">
        <v>500</v>
      </c>
      <c r="R68" s="36">
        <v>500</v>
      </c>
      <c r="S68" s="39">
        <f t="shared" si="11"/>
        <v>3000</v>
      </c>
      <c r="T68" s="35"/>
      <c r="U68" s="25"/>
    </row>
    <row r="69" spans="2:21" ht="15" customHeight="1">
      <c r="B69" s="24"/>
      <c r="C69" s="7"/>
      <c r="D69" s="544" t="s">
        <v>166</v>
      </c>
      <c r="E69" s="545"/>
      <c r="F69" s="473"/>
      <c r="G69" s="36">
        <v>0</v>
      </c>
      <c r="H69" s="36">
        <v>0</v>
      </c>
      <c r="I69" s="36">
        <v>0</v>
      </c>
      <c r="J69" s="36">
        <v>0</v>
      </c>
      <c r="K69" s="36">
        <v>0</v>
      </c>
      <c r="L69" s="37">
        <v>0</v>
      </c>
      <c r="M69" s="38">
        <v>0</v>
      </c>
      <c r="N69" s="36">
        <v>0</v>
      </c>
      <c r="O69" s="36">
        <v>0</v>
      </c>
      <c r="P69" s="36">
        <v>0</v>
      </c>
      <c r="Q69" s="36">
        <v>0</v>
      </c>
      <c r="R69" s="36">
        <v>0</v>
      </c>
      <c r="S69" s="39">
        <f t="shared" si="11"/>
        <v>0</v>
      </c>
      <c r="T69" s="35"/>
      <c r="U69" s="25"/>
    </row>
    <row r="70" spans="2:21" ht="15" customHeight="1">
      <c r="B70" s="24"/>
      <c r="C70" s="7"/>
      <c r="D70" s="544" t="s">
        <v>167</v>
      </c>
      <c r="E70" s="545"/>
      <c r="F70" s="473"/>
      <c r="G70" s="36">
        <v>0</v>
      </c>
      <c r="H70" s="36">
        <v>0</v>
      </c>
      <c r="I70" s="36">
        <v>0</v>
      </c>
      <c r="J70" s="36">
        <v>0</v>
      </c>
      <c r="K70" s="36">
        <v>0</v>
      </c>
      <c r="L70" s="37">
        <v>0</v>
      </c>
      <c r="M70" s="38">
        <v>0</v>
      </c>
      <c r="N70" s="36">
        <v>0</v>
      </c>
      <c r="O70" s="36">
        <v>0</v>
      </c>
      <c r="P70" s="36">
        <v>0</v>
      </c>
      <c r="Q70" s="36">
        <v>0</v>
      </c>
      <c r="R70" s="36">
        <v>0</v>
      </c>
      <c r="S70" s="39">
        <f t="shared" si="11"/>
        <v>0</v>
      </c>
      <c r="T70" s="35"/>
      <c r="U70" s="25"/>
    </row>
    <row r="71" spans="2:21" ht="15" customHeight="1">
      <c r="B71" s="24"/>
      <c r="C71" s="7"/>
      <c r="D71" s="544" t="s">
        <v>168</v>
      </c>
      <c r="E71" s="545"/>
      <c r="F71" s="473"/>
      <c r="G71" s="36">
        <v>0</v>
      </c>
      <c r="H71" s="36">
        <v>0</v>
      </c>
      <c r="I71" s="36">
        <v>0</v>
      </c>
      <c r="J71" s="36">
        <v>0</v>
      </c>
      <c r="K71" s="36">
        <v>0</v>
      </c>
      <c r="L71" s="37">
        <v>0</v>
      </c>
      <c r="M71" s="38">
        <v>0</v>
      </c>
      <c r="N71" s="36">
        <v>0</v>
      </c>
      <c r="O71" s="36">
        <v>0</v>
      </c>
      <c r="P71" s="36">
        <v>0</v>
      </c>
      <c r="Q71" s="36">
        <v>0</v>
      </c>
      <c r="R71" s="36">
        <v>0</v>
      </c>
      <c r="S71" s="39">
        <f t="shared" si="11"/>
        <v>0</v>
      </c>
      <c r="T71" s="35"/>
      <c r="U71" s="25"/>
    </row>
    <row r="72" spans="2:21" ht="15" customHeight="1">
      <c r="B72" s="24"/>
      <c r="C72" s="7"/>
      <c r="D72" s="544" t="s">
        <v>169</v>
      </c>
      <c r="E72" s="545"/>
      <c r="F72" s="473"/>
      <c r="G72" s="36">
        <v>0</v>
      </c>
      <c r="H72" s="36">
        <v>0</v>
      </c>
      <c r="I72" s="36">
        <v>0</v>
      </c>
      <c r="J72" s="36">
        <v>0</v>
      </c>
      <c r="K72" s="36">
        <v>0</v>
      </c>
      <c r="L72" s="37">
        <v>0</v>
      </c>
      <c r="M72" s="38">
        <v>0</v>
      </c>
      <c r="N72" s="36">
        <v>0</v>
      </c>
      <c r="O72" s="36">
        <v>0</v>
      </c>
      <c r="P72" s="36">
        <v>0</v>
      </c>
      <c r="Q72" s="36">
        <v>0</v>
      </c>
      <c r="R72" s="36">
        <v>0</v>
      </c>
      <c r="S72" s="39">
        <f t="shared" si="11"/>
        <v>0</v>
      </c>
      <c r="T72" s="35"/>
      <c r="U72" s="25"/>
    </row>
    <row r="73" spans="2:21" ht="15" customHeight="1">
      <c r="B73" s="24"/>
      <c r="C73" s="7"/>
      <c r="D73" s="544" t="s">
        <v>170</v>
      </c>
      <c r="E73" s="545"/>
      <c r="F73" s="479"/>
      <c r="G73" s="36">
        <v>0</v>
      </c>
      <c r="H73" s="36">
        <v>0</v>
      </c>
      <c r="I73" s="36">
        <v>0</v>
      </c>
      <c r="J73" s="36">
        <v>0</v>
      </c>
      <c r="K73" s="36">
        <v>0</v>
      </c>
      <c r="L73" s="37">
        <v>0</v>
      </c>
      <c r="M73" s="38">
        <v>0</v>
      </c>
      <c r="N73" s="36">
        <v>0</v>
      </c>
      <c r="O73" s="36">
        <v>0</v>
      </c>
      <c r="P73" s="36">
        <v>0</v>
      </c>
      <c r="Q73" s="36">
        <v>0</v>
      </c>
      <c r="R73" s="36">
        <v>0</v>
      </c>
      <c r="S73" s="39">
        <f t="shared" si="11"/>
        <v>0</v>
      </c>
      <c r="T73" s="35"/>
      <c r="U73" s="25"/>
    </row>
    <row r="74" spans="2:21" ht="15" customHeight="1">
      <c r="B74" s="24"/>
      <c r="C74" s="7"/>
      <c r="D74" s="544" t="s">
        <v>171</v>
      </c>
      <c r="E74" s="545"/>
      <c r="F74" s="473"/>
      <c r="G74" s="36">
        <v>0</v>
      </c>
      <c r="H74" s="36">
        <v>0</v>
      </c>
      <c r="I74" s="36">
        <v>0</v>
      </c>
      <c r="J74" s="36">
        <v>0</v>
      </c>
      <c r="K74" s="36">
        <v>0</v>
      </c>
      <c r="L74" s="37">
        <v>0</v>
      </c>
      <c r="M74" s="38">
        <v>5000</v>
      </c>
      <c r="N74" s="36">
        <v>5000</v>
      </c>
      <c r="O74" s="36">
        <v>5000</v>
      </c>
      <c r="P74" s="36">
        <v>5000</v>
      </c>
      <c r="Q74" s="36">
        <v>5000</v>
      </c>
      <c r="R74" s="36">
        <v>5000</v>
      </c>
      <c r="S74" s="39">
        <f t="shared" si="11"/>
        <v>30000</v>
      </c>
      <c r="T74" s="35"/>
      <c r="U74" s="25"/>
    </row>
    <row r="75" spans="2:21" ht="15" customHeight="1">
      <c r="B75" s="24"/>
      <c r="C75" s="7"/>
      <c r="D75" s="544" t="s">
        <v>172</v>
      </c>
      <c r="E75" s="545"/>
      <c r="F75" s="420"/>
      <c r="G75" s="36">
        <v>0</v>
      </c>
      <c r="H75" s="36">
        <v>0</v>
      </c>
      <c r="I75" s="36">
        <v>0</v>
      </c>
      <c r="J75" s="36">
        <v>0</v>
      </c>
      <c r="K75" s="36">
        <v>0</v>
      </c>
      <c r="L75" s="37">
        <v>0</v>
      </c>
      <c r="M75" s="38">
        <v>0</v>
      </c>
      <c r="N75" s="36">
        <v>0</v>
      </c>
      <c r="O75" s="36">
        <v>0</v>
      </c>
      <c r="P75" s="36">
        <v>0</v>
      </c>
      <c r="Q75" s="36">
        <v>0</v>
      </c>
      <c r="R75" s="36">
        <v>0</v>
      </c>
      <c r="S75" s="39">
        <f t="shared" si="11"/>
        <v>0</v>
      </c>
      <c r="T75" s="35"/>
      <c r="U75" s="25"/>
    </row>
    <row r="76" spans="2:21" ht="15" customHeight="1">
      <c r="B76" s="24"/>
      <c r="C76" s="7"/>
      <c r="D76" s="448"/>
      <c r="E76" s="449"/>
      <c r="F76" s="473"/>
      <c r="G76" s="51"/>
      <c r="H76" s="51"/>
      <c r="I76" s="51"/>
      <c r="J76" s="51"/>
      <c r="K76" s="51"/>
      <c r="L76" s="51"/>
      <c r="M76" s="51"/>
      <c r="N76" s="51"/>
      <c r="O76" s="51"/>
      <c r="P76" s="51"/>
      <c r="Q76" s="51"/>
      <c r="R76" s="51"/>
      <c r="S76" s="27"/>
      <c r="T76" s="35"/>
      <c r="U76" s="25"/>
    </row>
    <row r="77" spans="2:21" ht="15" customHeight="1">
      <c r="B77" s="24"/>
      <c r="C77" s="7"/>
      <c r="D77" s="546" t="s">
        <v>173</v>
      </c>
      <c r="E77" s="547"/>
      <c r="F77" s="473"/>
      <c r="G77" s="40">
        <f t="shared" ref="G77:R77" si="12">SUM(G62:G75)</f>
        <v>0</v>
      </c>
      <c r="H77" s="40">
        <f t="shared" si="12"/>
        <v>0</v>
      </c>
      <c r="I77" s="40">
        <f t="shared" si="12"/>
        <v>0</v>
      </c>
      <c r="J77" s="40">
        <f t="shared" si="12"/>
        <v>0</v>
      </c>
      <c r="K77" s="40">
        <f t="shared" si="12"/>
        <v>0</v>
      </c>
      <c r="L77" s="41">
        <f t="shared" si="12"/>
        <v>0</v>
      </c>
      <c r="M77" s="42">
        <f t="shared" si="12"/>
        <v>6300</v>
      </c>
      <c r="N77" s="40">
        <f t="shared" si="12"/>
        <v>6300</v>
      </c>
      <c r="O77" s="40">
        <f t="shared" si="12"/>
        <v>6300</v>
      </c>
      <c r="P77" s="40">
        <f t="shared" si="12"/>
        <v>6300</v>
      </c>
      <c r="Q77" s="40">
        <f t="shared" si="12"/>
        <v>6300</v>
      </c>
      <c r="R77" s="40">
        <f t="shared" si="12"/>
        <v>6300</v>
      </c>
      <c r="S77" s="39">
        <f>SUM(G77:R77)</f>
        <v>37800</v>
      </c>
      <c r="T77" s="35"/>
      <c r="U77" s="25"/>
    </row>
    <row r="78" spans="2:21" ht="15" customHeight="1">
      <c r="B78" s="24"/>
      <c r="C78" s="7"/>
      <c r="D78" s="448"/>
      <c r="E78" s="449"/>
      <c r="F78" s="473"/>
      <c r="G78" s="43"/>
      <c r="H78" s="43"/>
      <c r="I78" s="43"/>
      <c r="J78" s="43"/>
      <c r="K78" s="43"/>
      <c r="L78" s="43"/>
      <c r="M78" s="43"/>
      <c r="N78" s="43"/>
      <c r="O78" s="43"/>
      <c r="P78" s="43"/>
      <c r="Q78" s="43"/>
      <c r="R78" s="43"/>
      <c r="S78" s="28"/>
      <c r="T78" s="35"/>
      <c r="U78" s="25"/>
    </row>
    <row r="79" spans="2:21" ht="15" customHeight="1">
      <c r="B79" s="24"/>
      <c r="C79" s="7"/>
      <c r="D79" s="548" t="s">
        <v>174</v>
      </c>
      <c r="E79" s="549"/>
      <c r="F79" s="473"/>
      <c r="G79" s="33"/>
      <c r="H79" s="33"/>
      <c r="I79" s="33"/>
      <c r="J79" s="33"/>
      <c r="K79" s="33"/>
      <c r="L79" s="33"/>
      <c r="M79" s="33"/>
      <c r="N79" s="33"/>
      <c r="O79" s="33"/>
      <c r="P79" s="33"/>
      <c r="Q79" s="33"/>
      <c r="R79" s="33"/>
      <c r="S79" s="50"/>
      <c r="T79" s="35"/>
      <c r="U79" s="25"/>
    </row>
    <row r="80" spans="2:21" ht="15" customHeight="1">
      <c r="B80" s="24"/>
      <c r="C80" s="7"/>
      <c r="D80" s="544" t="s">
        <v>175</v>
      </c>
      <c r="E80" s="545"/>
      <c r="F80" s="473"/>
      <c r="G80" s="36">
        <v>0</v>
      </c>
      <c r="H80" s="36">
        <v>0</v>
      </c>
      <c r="I80" s="36">
        <v>0</v>
      </c>
      <c r="J80" s="36">
        <v>0</v>
      </c>
      <c r="K80" s="36">
        <v>0</v>
      </c>
      <c r="L80" s="37">
        <v>0</v>
      </c>
      <c r="M80" s="38">
        <v>0</v>
      </c>
      <c r="N80" s="36">
        <v>0</v>
      </c>
      <c r="O80" s="36">
        <v>0</v>
      </c>
      <c r="P80" s="36">
        <v>0</v>
      </c>
      <c r="Q80" s="36">
        <v>0</v>
      </c>
      <c r="R80" s="36">
        <v>0</v>
      </c>
      <c r="S80" s="39">
        <f t="shared" ref="S80:S89" si="13">SUM(G80:R80)</f>
        <v>0</v>
      </c>
      <c r="T80" s="35"/>
      <c r="U80" s="25"/>
    </row>
    <row r="81" spans="2:21" ht="15" customHeight="1">
      <c r="B81" s="24"/>
      <c r="C81" s="7"/>
      <c r="D81" s="544" t="s">
        <v>176</v>
      </c>
      <c r="E81" s="545"/>
      <c r="F81" s="473"/>
      <c r="G81" s="36">
        <v>0</v>
      </c>
      <c r="H81" s="36">
        <v>0</v>
      </c>
      <c r="I81" s="36">
        <v>0</v>
      </c>
      <c r="J81" s="36">
        <v>0</v>
      </c>
      <c r="K81" s="36">
        <v>0</v>
      </c>
      <c r="L81" s="37">
        <v>0</v>
      </c>
      <c r="M81" s="38">
        <v>0</v>
      </c>
      <c r="N81" s="36">
        <v>0</v>
      </c>
      <c r="O81" s="36">
        <v>0</v>
      </c>
      <c r="P81" s="36">
        <v>0</v>
      </c>
      <c r="Q81" s="36">
        <v>0</v>
      </c>
      <c r="R81" s="36">
        <v>0</v>
      </c>
      <c r="S81" s="39">
        <f t="shared" si="13"/>
        <v>0</v>
      </c>
      <c r="T81" s="35"/>
      <c r="U81" s="25"/>
    </row>
    <row r="82" spans="2:21" ht="15" customHeight="1">
      <c r="B82" s="24"/>
      <c r="C82" s="7"/>
      <c r="D82" s="448" t="s">
        <v>177</v>
      </c>
      <c r="E82" s="449"/>
      <c r="F82" s="473"/>
      <c r="G82" s="36">
        <v>0</v>
      </c>
      <c r="H82" s="36">
        <v>0</v>
      </c>
      <c r="I82" s="36">
        <v>0</v>
      </c>
      <c r="J82" s="36">
        <v>0</v>
      </c>
      <c r="K82" s="36">
        <v>0</v>
      </c>
      <c r="L82" s="37">
        <v>0</v>
      </c>
      <c r="M82" s="38">
        <v>0</v>
      </c>
      <c r="N82" s="36">
        <v>0</v>
      </c>
      <c r="O82" s="36">
        <v>0</v>
      </c>
      <c r="P82" s="36">
        <v>0</v>
      </c>
      <c r="Q82" s="36">
        <v>0</v>
      </c>
      <c r="R82" s="36">
        <v>0</v>
      </c>
      <c r="S82" s="39">
        <f t="shared" si="13"/>
        <v>0</v>
      </c>
      <c r="T82" s="35"/>
      <c r="U82" s="25"/>
    </row>
    <row r="83" spans="2:21" ht="15" customHeight="1">
      <c r="B83" s="24"/>
      <c r="C83" s="7"/>
      <c r="D83" s="448" t="s">
        <v>178</v>
      </c>
      <c r="E83" s="449"/>
      <c r="F83" s="473"/>
      <c r="G83" s="36">
        <v>0</v>
      </c>
      <c r="H83" s="36">
        <v>0</v>
      </c>
      <c r="I83" s="36">
        <v>0</v>
      </c>
      <c r="J83" s="36">
        <v>0</v>
      </c>
      <c r="K83" s="36">
        <v>0</v>
      </c>
      <c r="L83" s="37">
        <v>0</v>
      </c>
      <c r="M83" s="38">
        <v>0</v>
      </c>
      <c r="N83" s="36">
        <v>0</v>
      </c>
      <c r="O83" s="36">
        <v>0</v>
      </c>
      <c r="P83" s="36">
        <v>0</v>
      </c>
      <c r="Q83" s="36">
        <v>0</v>
      </c>
      <c r="R83" s="36">
        <v>0</v>
      </c>
      <c r="S83" s="39">
        <f t="shared" si="13"/>
        <v>0</v>
      </c>
      <c r="T83" s="35"/>
      <c r="U83" s="25"/>
    </row>
    <row r="84" spans="2:21" ht="15" customHeight="1">
      <c r="B84" s="24"/>
      <c r="C84" s="7"/>
      <c r="D84" s="448" t="s">
        <v>179</v>
      </c>
      <c r="E84" s="449"/>
      <c r="F84" s="473"/>
      <c r="G84" s="36">
        <v>0</v>
      </c>
      <c r="H84" s="36">
        <v>0</v>
      </c>
      <c r="I84" s="36">
        <v>0</v>
      </c>
      <c r="J84" s="36">
        <v>0</v>
      </c>
      <c r="K84" s="36">
        <v>0</v>
      </c>
      <c r="L84" s="37">
        <v>0</v>
      </c>
      <c r="M84" s="38">
        <v>0</v>
      </c>
      <c r="N84" s="36">
        <v>0</v>
      </c>
      <c r="O84" s="36">
        <v>0</v>
      </c>
      <c r="P84" s="36">
        <v>0</v>
      </c>
      <c r="Q84" s="36">
        <v>0</v>
      </c>
      <c r="R84" s="36">
        <v>0</v>
      </c>
      <c r="S84" s="39">
        <f t="shared" si="13"/>
        <v>0</v>
      </c>
      <c r="T84" s="35"/>
      <c r="U84" s="25"/>
    </row>
    <row r="85" spans="2:21" ht="15" customHeight="1">
      <c r="B85" s="24"/>
      <c r="C85" s="7"/>
      <c r="D85" s="448" t="s">
        <v>180</v>
      </c>
      <c r="E85" s="449"/>
      <c r="F85" s="473"/>
      <c r="G85" s="36">
        <v>0</v>
      </c>
      <c r="H85" s="36">
        <v>0</v>
      </c>
      <c r="I85" s="36">
        <v>0</v>
      </c>
      <c r="J85" s="36">
        <v>0</v>
      </c>
      <c r="K85" s="36">
        <v>0</v>
      </c>
      <c r="L85" s="37">
        <v>0</v>
      </c>
      <c r="M85" s="38">
        <v>0</v>
      </c>
      <c r="N85" s="36">
        <v>0</v>
      </c>
      <c r="O85" s="36">
        <v>0</v>
      </c>
      <c r="P85" s="36">
        <v>0</v>
      </c>
      <c r="Q85" s="36">
        <v>0</v>
      </c>
      <c r="R85" s="36">
        <v>0</v>
      </c>
      <c r="S85" s="39">
        <f t="shared" si="13"/>
        <v>0</v>
      </c>
      <c r="T85" s="35"/>
      <c r="U85" s="25"/>
    </row>
    <row r="86" spans="2:21" ht="15" customHeight="1">
      <c r="B86" s="24"/>
      <c r="C86" s="7"/>
      <c r="D86" s="448" t="s">
        <v>181</v>
      </c>
      <c r="E86" s="449"/>
      <c r="F86" s="479"/>
      <c r="G86" s="36">
        <v>0</v>
      </c>
      <c r="H86" s="36">
        <v>0</v>
      </c>
      <c r="I86" s="36">
        <v>0</v>
      </c>
      <c r="J86" s="36">
        <v>0</v>
      </c>
      <c r="K86" s="36">
        <v>0</v>
      </c>
      <c r="L86" s="37">
        <v>0</v>
      </c>
      <c r="M86" s="38">
        <v>0</v>
      </c>
      <c r="N86" s="36">
        <v>0</v>
      </c>
      <c r="O86" s="36">
        <v>0</v>
      </c>
      <c r="P86" s="36">
        <v>0</v>
      </c>
      <c r="Q86" s="36">
        <v>0</v>
      </c>
      <c r="R86" s="36">
        <v>0</v>
      </c>
      <c r="S86" s="39">
        <f t="shared" si="13"/>
        <v>0</v>
      </c>
      <c r="T86" s="35"/>
      <c r="U86" s="25"/>
    </row>
    <row r="87" spans="2:21" ht="15" customHeight="1">
      <c r="B87" s="24"/>
      <c r="C87" s="7"/>
      <c r="D87" s="448" t="s">
        <v>182</v>
      </c>
      <c r="E87" s="449"/>
      <c r="F87" s="473"/>
      <c r="G87" s="36">
        <v>0</v>
      </c>
      <c r="H87" s="36">
        <v>0</v>
      </c>
      <c r="I87" s="36">
        <v>0</v>
      </c>
      <c r="J87" s="36">
        <v>0</v>
      </c>
      <c r="K87" s="36">
        <v>0</v>
      </c>
      <c r="L87" s="37">
        <v>0</v>
      </c>
      <c r="M87" s="38">
        <v>0</v>
      </c>
      <c r="N87" s="36">
        <v>0</v>
      </c>
      <c r="O87" s="36">
        <v>0</v>
      </c>
      <c r="P87" s="36">
        <v>0</v>
      </c>
      <c r="Q87" s="36">
        <v>0</v>
      </c>
      <c r="R87" s="36">
        <v>0</v>
      </c>
      <c r="S87" s="39">
        <f t="shared" si="13"/>
        <v>0</v>
      </c>
      <c r="T87" s="35"/>
      <c r="U87" s="25"/>
    </row>
    <row r="88" spans="2:21" ht="15" customHeight="1">
      <c r="B88" s="24"/>
      <c r="C88" s="7"/>
      <c r="D88" s="448" t="s">
        <v>183</v>
      </c>
      <c r="E88" s="449"/>
      <c r="F88" s="479"/>
      <c r="G88" s="36">
        <v>0</v>
      </c>
      <c r="H88" s="36">
        <v>0</v>
      </c>
      <c r="I88" s="36">
        <v>0</v>
      </c>
      <c r="J88" s="36">
        <v>0</v>
      </c>
      <c r="K88" s="36">
        <v>0</v>
      </c>
      <c r="L88" s="37">
        <v>0</v>
      </c>
      <c r="M88" s="38">
        <v>0</v>
      </c>
      <c r="N88" s="36">
        <v>0</v>
      </c>
      <c r="O88" s="36">
        <v>0</v>
      </c>
      <c r="P88" s="36">
        <v>0</v>
      </c>
      <c r="Q88" s="36">
        <v>0</v>
      </c>
      <c r="R88" s="36">
        <v>0</v>
      </c>
      <c r="S88" s="39">
        <f t="shared" si="13"/>
        <v>0</v>
      </c>
      <c r="T88" s="35"/>
      <c r="U88" s="25"/>
    </row>
    <row r="89" spans="2:21" ht="15" customHeight="1">
      <c r="B89" s="24"/>
      <c r="C89" s="7"/>
      <c r="D89" s="544" t="s">
        <v>184</v>
      </c>
      <c r="E89" s="545"/>
      <c r="F89" s="473"/>
      <c r="G89" s="36">
        <v>0</v>
      </c>
      <c r="H89" s="36">
        <v>0</v>
      </c>
      <c r="I89" s="36">
        <v>0</v>
      </c>
      <c r="J89" s="36">
        <v>0</v>
      </c>
      <c r="K89" s="36">
        <v>0</v>
      </c>
      <c r="L89" s="37">
        <v>0</v>
      </c>
      <c r="M89" s="38">
        <v>0</v>
      </c>
      <c r="N89" s="36">
        <v>0</v>
      </c>
      <c r="O89" s="36">
        <v>0</v>
      </c>
      <c r="P89" s="36">
        <v>0</v>
      </c>
      <c r="Q89" s="36">
        <v>0</v>
      </c>
      <c r="R89" s="36">
        <v>0</v>
      </c>
      <c r="S89" s="39">
        <f t="shared" si="13"/>
        <v>0</v>
      </c>
      <c r="T89" s="35"/>
      <c r="U89" s="25"/>
    </row>
    <row r="90" spans="2:21" ht="15" customHeight="1">
      <c r="B90" s="24"/>
      <c r="C90" s="7"/>
      <c r="D90" s="544" t="s">
        <v>185</v>
      </c>
      <c r="E90" s="545"/>
      <c r="F90" s="420"/>
      <c r="G90" s="36">
        <v>0</v>
      </c>
      <c r="H90" s="36">
        <v>0</v>
      </c>
      <c r="I90" s="36">
        <v>0</v>
      </c>
      <c r="J90" s="36">
        <v>0</v>
      </c>
      <c r="K90" s="36">
        <v>0</v>
      </c>
      <c r="L90" s="37">
        <v>0</v>
      </c>
      <c r="M90" s="38">
        <v>0</v>
      </c>
      <c r="N90" s="36">
        <v>0</v>
      </c>
      <c r="O90" s="36">
        <v>0</v>
      </c>
      <c r="P90" s="36">
        <v>0</v>
      </c>
      <c r="Q90" s="36">
        <v>0</v>
      </c>
      <c r="R90" s="36">
        <v>0</v>
      </c>
      <c r="S90" s="39">
        <f t="shared" ref="S90:S95" si="14">SUM(G90:R90)</f>
        <v>0</v>
      </c>
      <c r="T90" s="35"/>
      <c r="U90" s="25"/>
    </row>
    <row r="91" spans="2:21" ht="15" customHeight="1">
      <c r="B91" s="24"/>
      <c r="C91" s="7"/>
      <c r="D91" s="544" t="s">
        <v>186</v>
      </c>
      <c r="E91" s="545"/>
      <c r="F91" s="473"/>
      <c r="G91" s="36">
        <v>0</v>
      </c>
      <c r="H91" s="36">
        <v>0</v>
      </c>
      <c r="I91" s="36">
        <v>0</v>
      </c>
      <c r="J91" s="36">
        <v>0</v>
      </c>
      <c r="K91" s="36">
        <v>0</v>
      </c>
      <c r="L91" s="37">
        <v>0</v>
      </c>
      <c r="M91" s="38">
        <v>0</v>
      </c>
      <c r="N91" s="36">
        <v>0</v>
      </c>
      <c r="O91" s="36">
        <v>0</v>
      </c>
      <c r="P91" s="36">
        <v>0</v>
      </c>
      <c r="Q91" s="36">
        <v>0</v>
      </c>
      <c r="R91" s="36">
        <v>0</v>
      </c>
      <c r="S91" s="39">
        <f t="shared" si="14"/>
        <v>0</v>
      </c>
      <c r="T91" s="35"/>
      <c r="U91" s="25"/>
    </row>
    <row r="92" spans="2:21" ht="15" customHeight="1">
      <c r="B92" s="24"/>
      <c r="C92" s="7"/>
      <c r="D92" s="544" t="s">
        <v>187</v>
      </c>
      <c r="E92" s="545"/>
      <c r="F92" s="473"/>
      <c r="G92" s="36">
        <v>0</v>
      </c>
      <c r="H92" s="36">
        <v>0</v>
      </c>
      <c r="I92" s="36">
        <v>0</v>
      </c>
      <c r="J92" s="36">
        <v>0</v>
      </c>
      <c r="K92" s="36">
        <v>0</v>
      </c>
      <c r="L92" s="37">
        <v>0</v>
      </c>
      <c r="M92" s="38">
        <v>0</v>
      </c>
      <c r="N92" s="36">
        <v>0</v>
      </c>
      <c r="O92" s="36">
        <v>0</v>
      </c>
      <c r="P92" s="36">
        <v>0</v>
      </c>
      <c r="Q92" s="36">
        <v>0</v>
      </c>
      <c r="R92" s="36">
        <v>0</v>
      </c>
      <c r="S92" s="39">
        <f t="shared" si="14"/>
        <v>0</v>
      </c>
      <c r="T92" s="35"/>
      <c r="U92" s="25"/>
    </row>
    <row r="93" spans="2:21" ht="15" customHeight="1">
      <c r="B93" s="24"/>
      <c r="C93" s="7"/>
      <c r="D93" s="544" t="s">
        <v>188</v>
      </c>
      <c r="E93" s="545"/>
      <c r="F93" s="473"/>
      <c r="G93" s="36">
        <v>0</v>
      </c>
      <c r="H93" s="36">
        <v>0</v>
      </c>
      <c r="I93" s="36">
        <v>0</v>
      </c>
      <c r="J93" s="36">
        <v>0</v>
      </c>
      <c r="K93" s="36">
        <v>0</v>
      </c>
      <c r="L93" s="37">
        <v>0</v>
      </c>
      <c r="M93" s="38">
        <v>0</v>
      </c>
      <c r="N93" s="36">
        <v>0</v>
      </c>
      <c r="O93" s="36">
        <v>0</v>
      </c>
      <c r="P93" s="36">
        <v>0</v>
      </c>
      <c r="Q93" s="36">
        <v>0</v>
      </c>
      <c r="R93" s="36">
        <v>0</v>
      </c>
      <c r="S93" s="39">
        <f t="shared" si="14"/>
        <v>0</v>
      </c>
      <c r="T93" s="35"/>
      <c r="U93" s="25"/>
    </row>
    <row r="94" spans="2:21" ht="15" customHeight="1">
      <c r="B94" s="24"/>
      <c r="C94" s="7"/>
      <c r="D94" s="544" t="s">
        <v>189</v>
      </c>
      <c r="E94" s="545"/>
      <c r="F94" s="473"/>
      <c r="G94" s="36">
        <v>0</v>
      </c>
      <c r="H94" s="36">
        <v>0</v>
      </c>
      <c r="I94" s="36">
        <v>0</v>
      </c>
      <c r="J94" s="36">
        <v>0</v>
      </c>
      <c r="K94" s="36">
        <v>0</v>
      </c>
      <c r="L94" s="37">
        <v>0</v>
      </c>
      <c r="M94" s="38">
        <v>0</v>
      </c>
      <c r="N94" s="36">
        <v>0</v>
      </c>
      <c r="O94" s="36">
        <v>0</v>
      </c>
      <c r="P94" s="36">
        <v>0</v>
      </c>
      <c r="Q94" s="36">
        <v>0</v>
      </c>
      <c r="R94" s="36">
        <v>0</v>
      </c>
      <c r="S94" s="39">
        <f t="shared" si="14"/>
        <v>0</v>
      </c>
      <c r="T94" s="35"/>
      <c r="U94" s="25"/>
    </row>
    <row r="95" spans="2:21" ht="15" customHeight="1">
      <c r="B95" s="24"/>
      <c r="C95" s="7"/>
      <c r="D95" s="544" t="s">
        <v>190</v>
      </c>
      <c r="E95" s="545"/>
      <c r="F95" s="473"/>
      <c r="G95" s="36">
        <v>0</v>
      </c>
      <c r="H95" s="36">
        <v>0</v>
      </c>
      <c r="I95" s="36">
        <v>0</v>
      </c>
      <c r="J95" s="36">
        <v>0</v>
      </c>
      <c r="K95" s="36">
        <v>0</v>
      </c>
      <c r="L95" s="37">
        <v>0</v>
      </c>
      <c r="M95" s="38">
        <v>0</v>
      </c>
      <c r="N95" s="36">
        <v>0</v>
      </c>
      <c r="O95" s="36">
        <v>0</v>
      </c>
      <c r="P95" s="36">
        <v>0</v>
      </c>
      <c r="Q95" s="36">
        <v>0</v>
      </c>
      <c r="R95" s="36">
        <v>0</v>
      </c>
      <c r="S95" s="39">
        <f t="shared" si="14"/>
        <v>0</v>
      </c>
      <c r="T95" s="35"/>
      <c r="U95" s="25"/>
    </row>
    <row r="96" spans="2:21" ht="15" customHeight="1">
      <c r="B96" s="24"/>
      <c r="C96" s="7"/>
      <c r="D96" s="448"/>
      <c r="E96" s="449"/>
      <c r="F96" s="479"/>
      <c r="G96" s="51"/>
      <c r="H96" s="51"/>
      <c r="I96" s="51"/>
      <c r="J96" s="51"/>
      <c r="K96" s="51"/>
      <c r="L96" s="51"/>
      <c r="M96" s="51"/>
      <c r="N96" s="51"/>
      <c r="O96" s="51"/>
      <c r="P96" s="51"/>
      <c r="Q96" s="51"/>
      <c r="R96" s="51"/>
      <c r="S96" s="27"/>
      <c r="T96" s="35"/>
      <c r="U96" s="25"/>
    </row>
    <row r="97" spans="2:21" ht="15" customHeight="1">
      <c r="B97" s="24"/>
      <c r="C97" s="7"/>
      <c r="D97" s="546" t="s">
        <v>191</v>
      </c>
      <c r="E97" s="547"/>
      <c r="F97" s="473"/>
      <c r="G97" s="40">
        <f>SUM(G80:G95)</f>
        <v>0</v>
      </c>
      <c r="H97" s="40">
        <f>SUM(H80:H95)</f>
        <v>0</v>
      </c>
      <c r="I97" s="40">
        <f t="shared" ref="I97:R97" si="15">SUM(I80:I95)</f>
        <v>0</v>
      </c>
      <c r="J97" s="40">
        <f t="shared" si="15"/>
        <v>0</v>
      </c>
      <c r="K97" s="40">
        <f t="shared" si="15"/>
        <v>0</v>
      </c>
      <c r="L97" s="40">
        <f t="shared" si="15"/>
        <v>0</v>
      </c>
      <c r="M97" s="40">
        <f t="shared" si="15"/>
        <v>0</v>
      </c>
      <c r="N97" s="40">
        <f t="shared" si="15"/>
        <v>0</v>
      </c>
      <c r="O97" s="40">
        <f t="shared" si="15"/>
        <v>0</v>
      </c>
      <c r="P97" s="40">
        <f t="shared" si="15"/>
        <v>0</v>
      </c>
      <c r="Q97" s="40">
        <f t="shared" si="15"/>
        <v>0</v>
      </c>
      <c r="R97" s="40">
        <f t="shared" si="15"/>
        <v>0</v>
      </c>
      <c r="S97" s="39">
        <f>SUM(G97:R97)</f>
        <v>0</v>
      </c>
      <c r="T97" s="35"/>
      <c r="U97" s="25"/>
    </row>
    <row r="98" spans="2:21" ht="15" customHeight="1">
      <c r="B98" s="24"/>
      <c r="C98" s="7"/>
      <c r="D98" s="448"/>
      <c r="E98" s="449"/>
      <c r="F98" s="479"/>
      <c r="G98" s="43"/>
      <c r="H98" s="43"/>
      <c r="I98" s="43"/>
      <c r="J98" s="43"/>
      <c r="K98" s="43"/>
      <c r="L98" s="43"/>
      <c r="M98" s="43"/>
      <c r="N98" s="43"/>
      <c r="O98" s="43"/>
      <c r="P98" s="43"/>
      <c r="Q98" s="43"/>
      <c r="R98" s="43"/>
      <c r="S98" s="28"/>
      <c r="T98" s="35"/>
      <c r="U98" s="25"/>
    </row>
    <row r="99" spans="2:21" ht="15" customHeight="1">
      <c r="B99" s="24"/>
      <c r="C99" s="7"/>
      <c r="D99" s="548" t="s">
        <v>192</v>
      </c>
      <c r="E99" s="549"/>
      <c r="F99" s="473"/>
      <c r="G99" s="33"/>
      <c r="H99" s="33"/>
      <c r="I99" s="33"/>
      <c r="J99" s="33"/>
      <c r="K99" s="33"/>
      <c r="L99" s="33"/>
      <c r="M99" s="33"/>
      <c r="N99" s="33"/>
      <c r="O99" s="33"/>
      <c r="P99" s="33"/>
      <c r="Q99" s="33"/>
      <c r="R99" s="33"/>
      <c r="S99" s="50"/>
      <c r="T99" s="35"/>
      <c r="U99" s="25"/>
    </row>
    <row r="100" spans="2:21" ht="15" customHeight="1">
      <c r="B100" s="24"/>
      <c r="C100" s="7"/>
      <c r="D100" s="588" t="s">
        <v>193</v>
      </c>
      <c r="E100" s="589"/>
      <c r="F100" s="473"/>
      <c r="G100" s="36">
        <v>0</v>
      </c>
      <c r="H100" s="36">
        <v>0</v>
      </c>
      <c r="I100" s="36">
        <v>0</v>
      </c>
      <c r="J100" s="36">
        <v>0</v>
      </c>
      <c r="K100" s="36">
        <v>0</v>
      </c>
      <c r="L100" s="37">
        <v>0</v>
      </c>
      <c r="M100" s="38">
        <v>0</v>
      </c>
      <c r="N100" s="36">
        <v>0</v>
      </c>
      <c r="O100" s="36">
        <v>0</v>
      </c>
      <c r="P100" s="36">
        <v>0</v>
      </c>
      <c r="Q100" s="36">
        <v>0</v>
      </c>
      <c r="R100" s="36">
        <v>0</v>
      </c>
      <c r="S100" s="39">
        <f>SUM(G100:R100)</f>
        <v>0</v>
      </c>
      <c r="T100" s="35"/>
      <c r="U100" s="25"/>
    </row>
    <row r="101" spans="2:21" ht="15" customHeight="1">
      <c r="B101" s="24"/>
      <c r="C101" s="7"/>
      <c r="D101" s="544" t="s">
        <v>194</v>
      </c>
      <c r="E101" s="545"/>
      <c r="F101" s="473"/>
      <c r="G101" s="36">
        <v>0</v>
      </c>
      <c r="H101" s="36">
        <v>0</v>
      </c>
      <c r="I101" s="36">
        <v>0</v>
      </c>
      <c r="J101" s="36">
        <v>0</v>
      </c>
      <c r="K101" s="36">
        <v>0</v>
      </c>
      <c r="L101" s="37">
        <v>0</v>
      </c>
      <c r="M101" s="38">
        <v>0</v>
      </c>
      <c r="N101" s="36">
        <v>0</v>
      </c>
      <c r="O101" s="36">
        <v>0</v>
      </c>
      <c r="P101" s="36">
        <v>0</v>
      </c>
      <c r="Q101" s="36">
        <v>0</v>
      </c>
      <c r="R101" s="36">
        <v>0</v>
      </c>
      <c r="S101" s="39">
        <f>SUM(G101:R101)</f>
        <v>0</v>
      </c>
      <c r="T101" s="35"/>
      <c r="U101" s="25"/>
    </row>
    <row r="102" spans="2:21" ht="15" customHeight="1">
      <c r="B102" s="24"/>
      <c r="C102" s="7"/>
      <c r="D102" s="588" t="s">
        <v>195</v>
      </c>
      <c r="E102" s="589"/>
      <c r="F102" s="473"/>
      <c r="G102" s="36">
        <v>0</v>
      </c>
      <c r="H102" s="36">
        <v>0</v>
      </c>
      <c r="I102" s="36">
        <v>0</v>
      </c>
      <c r="J102" s="36">
        <v>0</v>
      </c>
      <c r="K102" s="36">
        <v>0</v>
      </c>
      <c r="L102" s="37">
        <v>0</v>
      </c>
      <c r="M102" s="38">
        <v>0</v>
      </c>
      <c r="N102" s="36">
        <v>0</v>
      </c>
      <c r="O102" s="36">
        <v>0</v>
      </c>
      <c r="P102" s="36">
        <v>0</v>
      </c>
      <c r="Q102" s="36">
        <v>0</v>
      </c>
      <c r="R102" s="36">
        <v>0</v>
      </c>
      <c r="S102" s="39">
        <f>SUM(G102:R102)</f>
        <v>0</v>
      </c>
      <c r="T102" s="35"/>
      <c r="U102" s="25"/>
    </row>
    <row r="103" spans="2:21" ht="15" customHeight="1">
      <c r="B103" s="24"/>
      <c r="C103" s="7"/>
      <c r="D103" s="448"/>
      <c r="E103" s="449"/>
      <c r="F103" s="473"/>
      <c r="G103" s="51"/>
      <c r="H103" s="51"/>
      <c r="I103" s="51"/>
      <c r="J103" s="51"/>
      <c r="K103" s="51"/>
      <c r="L103" s="51"/>
      <c r="M103" s="51"/>
      <c r="N103" s="51"/>
      <c r="O103" s="51"/>
      <c r="P103" s="51"/>
      <c r="Q103" s="51"/>
      <c r="R103" s="51"/>
      <c r="S103" s="27"/>
      <c r="T103" s="35"/>
      <c r="U103" s="25"/>
    </row>
    <row r="104" spans="2:21" ht="15" customHeight="1">
      <c r="B104" s="24"/>
      <c r="C104" s="7"/>
      <c r="D104" s="546" t="s">
        <v>196</v>
      </c>
      <c r="E104" s="547"/>
      <c r="F104" s="473"/>
      <c r="G104" s="40">
        <f t="shared" ref="G104:R104" si="16">SUM(G100:G102)</f>
        <v>0</v>
      </c>
      <c r="H104" s="40">
        <f t="shared" si="16"/>
        <v>0</v>
      </c>
      <c r="I104" s="40">
        <f t="shared" si="16"/>
        <v>0</v>
      </c>
      <c r="J104" s="40">
        <f t="shared" si="16"/>
        <v>0</v>
      </c>
      <c r="K104" s="40">
        <f t="shared" si="16"/>
        <v>0</v>
      </c>
      <c r="L104" s="41">
        <f t="shared" si="16"/>
        <v>0</v>
      </c>
      <c r="M104" s="42">
        <f t="shared" si="16"/>
        <v>0</v>
      </c>
      <c r="N104" s="40">
        <f t="shared" si="16"/>
        <v>0</v>
      </c>
      <c r="O104" s="40">
        <f t="shared" si="16"/>
        <v>0</v>
      </c>
      <c r="P104" s="40">
        <f t="shared" si="16"/>
        <v>0</v>
      </c>
      <c r="Q104" s="40">
        <f t="shared" si="16"/>
        <v>0</v>
      </c>
      <c r="R104" s="40">
        <f t="shared" si="16"/>
        <v>0</v>
      </c>
      <c r="S104" s="39">
        <f>SUM(G104:R104)</f>
        <v>0</v>
      </c>
      <c r="T104" s="35"/>
      <c r="U104" s="25"/>
    </row>
    <row r="105" spans="2:21" ht="15" customHeight="1">
      <c r="B105" s="24"/>
      <c r="C105" s="7"/>
      <c r="D105" s="544"/>
      <c r="E105" s="545"/>
      <c r="F105" s="473"/>
      <c r="G105" s="51"/>
      <c r="H105" s="51"/>
      <c r="I105" s="51"/>
      <c r="J105" s="51"/>
      <c r="K105" s="51"/>
      <c r="L105" s="51"/>
      <c r="M105" s="51"/>
      <c r="N105" s="51"/>
      <c r="O105" s="51"/>
      <c r="P105" s="51"/>
      <c r="Q105" s="51"/>
      <c r="R105" s="51"/>
      <c r="S105" s="27"/>
      <c r="T105" s="35"/>
      <c r="U105" s="25"/>
    </row>
    <row r="106" spans="2:21" ht="15" customHeight="1">
      <c r="B106" s="24"/>
      <c r="C106" s="7"/>
      <c r="D106" s="550" t="s">
        <v>197</v>
      </c>
      <c r="E106" s="551"/>
      <c r="F106" s="473"/>
      <c r="G106" s="40">
        <f t="shared" ref="G106:R106" si="17">G35+G47+G53+G59+G77+G97+G104</f>
        <v>0</v>
      </c>
      <c r="H106" s="40">
        <f t="shared" si="17"/>
        <v>0</v>
      </c>
      <c r="I106" s="40">
        <f t="shared" si="17"/>
        <v>0</v>
      </c>
      <c r="J106" s="40">
        <f t="shared" si="17"/>
        <v>0</v>
      </c>
      <c r="K106" s="40">
        <f t="shared" si="17"/>
        <v>0</v>
      </c>
      <c r="L106" s="41">
        <f t="shared" si="17"/>
        <v>0</v>
      </c>
      <c r="M106" s="42">
        <f t="shared" si="17"/>
        <v>31300</v>
      </c>
      <c r="N106" s="40">
        <f t="shared" si="17"/>
        <v>24300</v>
      </c>
      <c r="O106" s="40">
        <f t="shared" si="17"/>
        <v>24300</v>
      </c>
      <c r="P106" s="40">
        <f t="shared" si="17"/>
        <v>25300</v>
      </c>
      <c r="Q106" s="40">
        <f t="shared" si="17"/>
        <v>24300</v>
      </c>
      <c r="R106" s="40">
        <f t="shared" si="17"/>
        <v>24300</v>
      </c>
      <c r="S106" s="39">
        <f>SUM(G106:R106)</f>
        <v>153800</v>
      </c>
      <c r="T106" s="35"/>
      <c r="U106" s="25"/>
    </row>
    <row r="107" spans="2:21" ht="15" customHeight="1">
      <c r="B107" s="24"/>
      <c r="C107" s="7"/>
      <c r="D107" s="594"/>
      <c r="E107" s="595"/>
      <c r="F107" s="473"/>
      <c r="G107" s="48"/>
      <c r="H107" s="48"/>
      <c r="I107" s="48"/>
      <c r="J107" s="48"/>
      <c r="K107" s="48"/>
      <c r="L107" s="48"/>
      <c r="M107" s="48"/>
      <c r="N107" s="48"/>
      <c r="O107" s="48"/>
      <c r="P107" s="48"/>
      <c r="Q107" s="48"/>
      <c r="R107" s="48"/>
      <c r="S107" s="48"/>
      <c r="T107" s="35"/>
      <c r="U107" s="25"/>
    </row>
    <row r="108" spans="2:21" ht="15" customHeight="1" thickBot="1">
      <c r="B108" s="24"/>
      <c r="C108" s="7"/>
      <c r="D108" s="590" t="s">
        <v>198</v>
      </c>
      <c r="E108" s="591"/>
      <c r="F108" s="479"/>
      <c r="G108" s="40">
        <f t="shared" ref="G108:R108" si="18">G28-G106</f>
        <v>0</v>
      </c>
      <c r="H108" s="40">
        <f t="shared" si="18"/>
        <v>0</v>
      </c>
      <c r="I108" s="40">
        <f t="shared" si="18"/>
        <v>0</v>
      </c>
      <c r="J108" s="40">
        <f t="shared" si="18"/>
        <v>0</v>
      </c>
      <c r="K108" s="40">
        <f t="shared" si="18"/>
        <v>0</v>
      </c>
      <c r="L108" s="41">
        <f t="shared" si="18"/>
        <v>0</v>
      </c>
      <c r="M108" s="42">
        <f t="shared" si="18"/>
        <v>2033.3333333333358</v>
      </c>
      <c r="N108" s="40">
        <f t="shared" si="18"/>
        <v>9033.3333333333358</v>
      </c>
      <c r="O108" s="40">
        <f t="shared" si="18"/>
        <v>9033.3333333333358</v>
      </c>
      <c r="P108" s="40">
        <f t="shared" si="18"/>
        <v>8033.3333333333358</v>
      </c>
      <c r="Q108" s="40">
        <f t="shared" si="18"/>
        <v>9033.3333333333358</v>
      </c>
      <c r="R108" s="40">
        <f t="shared" si="18"/>
        <v>9033.3333333333358</v>
      </c>
      <c r="S108" s="39">
        <f>SUM(G108:R108)</f>
        <v>46200.000000000015</v>
      </c>
      <c r="T108" s="35"/>
      <c r="U108" s="25"/>
    </row>
    <row r="109" spans="2:21" ht="15" customHeight="1">
      <c r="B109" s="24"/>
      <c r="C109" s="11"/>
      <c r="D109" s="460"/>
      <c r="E109" s="107"/>
      <c r="F109" s="482"/>
      <c r="G109" s="33"/>
      <c r="H109" s="33"/>
      <c r="I109" s="33"/>
      <c r="J109" s="33"/>
      <c r="K109" s="33"/>
      <c r="L109" s="33"/>
      <c r="M109" s="33"/>
      <c r="N109" s="33"/>
      <c r="O109" s="33"/>
      <c r="P109" s="33"/>
      <c r="Q109" s="33"/>
      <c r="R109" s="33"/>
      <c r="S109" s="50"/>
      <c r="T109" s="34"/>
      <c r="U109" s="25"/>
    </row>
    <row r="110" spans="2:21" ht="15" customHeight="1">
      <c r="B110" s="24"/>
      <c r="C110" s="13"/>
      <c r="D110" s="462"/>
      <c r="E110" s="29"/>
      <c r="F110" s="420"/>
      <c r="G110" s="106"/>
      <c r="H110" s="29"/>
      <c r="I110" s="29"/>
      <c r="J110" s="29"/>
      <c r="K110" s="29"/>
      <c r="L110" s="29"/>
      <c r="M110" s="29"/>
      <c r="N110" s="29"/>
      <c r="O110" s="29"/>
      <c r="P110" s="29"/>
      <c r="Q110" s="29"/>
      <c r="R110" s="29"/>
      <c r="S110" s="29"/>
      <c r="T110" s="28"/>
      <c r="U110" s="25"/>
    </row>
    <row r="111" spans="2:21" ht="15" customHeight="1">
      <c r="B111" s="24"/>
      <c r="C111" s="6"/>
      <c r="D111" s="458" t="s">
        <v>199</v>
      </c>
      <c r="E111" s="52"/>
      <c r="F111" s="473"/>
      <c r="G111" s="329"/>
      <c r="H111" s="329"/>
      <c r="I111" s="329"/>
      <c r="J111" s="329"/>
      <c r="K111" s="329"/>
      <c r="L111" s="329"/>
      <c r="M111" s="329"/>
      <c r="N111" s="329"/>
      <c r="O111" s="29"/>
      <c r="P111" s="29"/>
      <c r="Q111" s="29"/>
      <c r="R111" s="29"/>
      <c r="S111" s="29"/>
      <c r="T111" s="79"/>
      <c r="U111" s="25"/>
    </row>
    <row r="112" spans="2:21" ht="15" customHeight="1">
      <c r="B112" s="24"/>
      <c r="C112" s="6"/>
      <c r="D112" s="592" t="s">
        <v>200</v>
      </c>
      <c r="E112" s="592"/>
      <c r="F112" s="592"/>
      <c r="G112" s="592"/>
      <c r="H112" s="592"/>
      <c r="I112" s="592"/>
      <c r="J112" s="592"/>
      <c r="K112" s="592"/>
      <c r="L112" s="592"/>
      <c r="M112" s="592"/>
      <c r="N112" s="592"/>
      <c r="O112" s="537"/>
      <c r="P112" s="52"/>
      <c r="Q112" s="52"/>
      <c r="R112" s="52"/>
      <c r="S112" s="52"/>
      <c r="T112" s="461"/>
      <c r="U112" s="25"/>
    </row>
    <row r="113" spans="2:21" ht="51" customHeight="1">
      <c r="B113" s="24"/>
      <c r="C113" s="6"/>
      <c r="D113" s="535" t="s">
        <v>201</v>
      </c>
      <c r="E113" s="535"/>
      <c r="F113" s="535"/>
      <c r="G113" s="535"/>
      <c r="H113" s="535"/>
      <c r="I113" s="535"/>
      <c r="J113" s="535"/>
      <c r="K113" s="535"/>
      <c r="L113" s="535"/>
      <c r="M113" s="535"/>
      <c r="N113" s="535"/>
      <c r="O113" s="593"/>
      <c r="P113" s="52"/>
      <c r="Q113" s="52"/>
      <c r="R113" s="52"/>
      <c r="S113" s="52"/>
      <c r="T113" s="79"/>
      <c r="U113" s="25"/>
    </row>
    <row r="114" spans="2:21" ht="15" customHeight="1" thickBot="1">
      <c r="B114" s="12"/>
      <c r="C114" s="5"/>
      <c r="D114" s="415"/>
      <c r="E114" s="53"/>
      <c r="F114" s="487"/>
      <c r="G114" s="53"/>
      <c r="H114" s="53"/>
      <c r="I114" s="53"/>
      <c r="J114" s="53"/>
      <c r="K114" s="53"/>
      <c r="L114" s="416"/>
      <c r="M114" s="416"/>
      <c r="N114" s="417"/>
      <c r="O114" s="4"/>
      <c r="P114" s="4"/>
      <c r="Q114" s="4"/>
      <c r="R114" s="4"/>
      <c r="S114" s="4"/>
      <c r="T114" s="53"/>
      <c r="U114" s="54"/>
    </row>
    <row r="115" spans="2:21" ht="15">
      <c r="F115" s="483"/>
    </row>
    <row r="116" spans="2:21" ht="15">
      <c r="F116" s="421"/>
    </row>
    <row r="117" spans="2:21" ht="15">
      <c r="F117" s="483"/>
    </row>
    <row r="118" spans="2:21" ht="15">
      <c r="F118" s="483"/>
    </row>
    <row r="119" spans="2:21" ht="15">
      <c r="F119" s="483"/>
    </row>
    <row r="120" spans="2:21" ht="15">
      <c r="F120" s="483"/>
    </row>
    <row r="121" spans="2:21" ht="15.75" thickBot="1">
      <c r="F121" s="483"/>
    </row>
    <row r="122" spans="2:21" ht="15">
      <c r="F122" s="483"/>
    </row>
    <row r="123" spans="2:21" ht="15">
      <c r="F123" s="483"/>
    </row>
    <row r="124" spans="2:21" ht="15">
      <c r="F124" s="483"/>
    </row>
    <row r="125" spans="2:21" ht="15">
      <c r="F125" s="483"/>
    </row>
    <row r="126" spans="2:21" ht="15">
      <c r="F126" s="483"/>
    </row>
    <row r="127" spans="2:21" ht="15">
      <c r="F127" s="483"/>
    </row>
    <row r="128" spans="2:21" ht="15">
      <c r="F128" s="483"/>
    </row>
    <row r="129" spans="6:6" ht="15">
      <c r="F129" s="483"/>
    </row>
    <row r="130" spans="6:6" ht="15">
      <c r="F130" s="483"/>
    </row>
    <row r="131" spans="6:6" ht="15">
      <c r="F131" s="483"/>
    </row>
    <row r="132" spans="6:6" ht="15">
      <c r="F132" s="485"/>
    </row>
    <row r="133" spans="6:6" ht="15">
      <c r="F133" s="483"/>
    </row>
    <row r="134" spans="6:6" ht="15">
      <c r="F134" s="421"/>
    </row>
    <row r="135" spans="6:6" ht="15">
      <c r="F135" s="483"/>
    </row>
    <row r="136" spans="6:6" ht="15">
      <c r="F136" s="483"/>
    </row>
    <row r="137" spans="6:6" ht="15">
      <c r="F137" s="483"/>
    </row>
    <row r="138" spans="6:6" ht="15">
      <c r="F138" s="483"/>
    </row>
    <row r="139" spans="6:6" ht="15">
      <c r="F139" s="483"/>
    </row>
    <row r="140" spans="6:6" ht="15">
      <c r="F140" s="483"/>
    </row>
    <row r="141" spans="6:6" ht="15">
      <c r="F141" s="483"/>
    </row>
    <row r="142" spans="6:6" ht="15">
      <c r="F142" s="483"/>
    </row>
    <row r="143" spans="6:6" ht="15">
      <c r="F143" s="483"/>
    </row>
    <row r="144" spans="6:6" ht="15">
      <c r="F144" s="483"/>
    </row>
    <row r="145" spans="6:6" ht="15">
      <c r="F145" s="483"/>
    </row>
    <row r="146" spans="6:6" ht="15">
      <c r="F146" s="483"/>
    </row>
    <row r="147" spans="6:6" ht="15">
      <c r="F147" s="483"/>
    </row>
    <row r="148" spans="6:6" ht="15">
      <c r="F148" s="483"/>
    </row>
    <row r="149" spans="6:6" ht="15">
      <c r="F149" s="483"/>
    </row>
    <row r="150" spans="6:6" ht="15">
      <c r="F150" s="483"/>
    </row>
    <row r="151" spans="6:6" ht="15">
      <c r="F151" s="483"/>
    </row>
    <row r="152" spans="6:6" ht="15">
      <c r="F152" s="485"/>
    </row>
    <row r="153" spans="6:6" ht="15">
      <c r="F153" s="483"/>
    </row>
    <row r="154" spans="6:6" ht="15">
      <c r="F154" s="421"/>
    </row>
    <row r="155" spans="6:6" ht="15">
      <c r="F155" s="483"/>
    </row>
    <row r="156" spans="6:6" ht="15">
      <c r="F156" s="488"/>
    </row>
    <row r="157" spans="6:6" ht="15">
      <c r="F157" s="483"/>
    </row>
    <row r="158" spans="6:6" ht="15">
      <c r="F158" s="483"/>
    </row>
    <row r="159" spans="6:6" ht="15">
      <c r="F159" s="488"/>
    </row>
    <row r="160" spans="6:6" ht="15">
      <c r="F160" s="483"/>
    </row>
    <row r="161" spans="6:6" ht="15">
      <c r="F161" s="485"/>
    </row>
    <row r="162" spans="6:6" ht="15">
      <c r="F162" s="483"/>
    </row>
    <row r="163" spans="6:6" ht="15">
      <c r="F163" s="486"/>
    </row>
    <row r="164" spans="6:6" ht="15">
      <c r="F164" s="489"/>
    </row>
    <row r="165" spans="6:6" ht="15">
      <c r="F165" s="486"/>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9:E99"/>
    <mergeCell ref="D100:E100"/>
    <mergeCell ref="D101:E101"/>
    <mergeCell ref="D89:E89"/>
    <mergeCell ref="D90:E90"/>
    <mergeCell ref="D91:E91"/>
    <mergeCell ref="D92:E92"/>
    <mergeCell ref="D93:E93"/>
    <mergeCell ref="D94:E94"/>
    <mergeCell ref="D77:E77"/>
    <mergeCell ref="D79:E79"/>
    <mergeCell ref="D80:E80"/>
    <mergeCell ref="D81:E81"/>
    <mergeCell ref="D97:E97"/>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53:E53"/>
    <mergeCell ref="D55:E55"/>
    <mergeCell ref="D56:E56"/>
    <mergeCell ref="D57:E57"/>
    <mergeCell ref="D59:E59"/>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R13:R14"/>
    <mergeCell ref="S13:S14"/>
    <mergeCell ref="D17:E17"/>
    <mergeCell ref="D15:E15"/>
    <mergeCell ref="K13:K14"/>
    <mergeCell ref="Q13:Q14"/>
    <mergeCell ref="D38:E38"/>
    <mergeCell ref="D39:E39"/>
    <mergeCell ref="D19:E19"/>
    <mergeCell ref="D20:E20"/>
    <mergeCell ref="D21:E21"/>
    <mergeCell ref="D32:E32"/>
    <mergeCell ref="D22:E22"/>
    <mergeCell ref="D23:E23"/>
    <mergeCell ref="D24:E24"/>
    <mergeCell ref="D25:E25"/>
    <mergeCell ref="D26:E26"/>
    <mergeCell ref="D27:E27"/>
    <mergeCell ref="D37:E37"/>
    <mergeCell ref="D28:E28"/>
    <mergeCell ref="D30:E31"/>
    <mergeCell ref="D33:E33"/>
    <mergeCell ref="D35:E35"/>
    <mergeCell ref="D40:E40"/>
    <mergeCell ref="D41:E41"/>
    <mergeCell ref="D42:E42"/>
    <mergeCell ref="D43:E43"/>
    <mergeCell ref="D50:E50"/>
    <mergeCell ref="D51:E51"/>
    <mergeCell ref="D44:E44"/>
    <mergeCell ref="D45:E45"/>
    <mergeCell ref="D47:E47"/>
    <mergeCell ref="D49:E49"/>
  </mergeCells>
  <conditionalFormatting sqref="G108:S108">
    <cfRule type="cellIs" dxfId="67" priority="1" stopIfTrue="1" operator="lessThan">
      <formula>0</formula>
    </cfRule>
  </conditionalFormatting>
  <pageMargins left="0.7" right="0.7" top="0.75" bottom="0.75" header="0.3" footer="0.3"/>
  <pageSetup scale="91" orientation="landscape"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U183"/>
  <sheetViews>
    <sheetView tabSelected="1" topLeftCell="A134" zoomScale="58" zoomScaleNormal="100" workbookViewId="0">
      <selection activeCell="I19" sqref="I19"/>
    </sheetView>
  </sheetViews>
  <sheetFormatPr defaultRowHeight="15"/>
  <cols>
    <col min="1" max="2" width="3" style="78" customWidth="1"/>
    <col min="3" max="3" width="3.7109375" style="98" customWidth="1"/>
    <col min="4" max="4" width="33.140625" style="340" customWidth="1"/>
    <col min="5" max="5" width="32.7109375" style="78" customWidth="1"/>
    <col min="6" max="6" width="2.7109375" style="78" customWidth="1"/>
    <col min="7" max="11" width="17.7109375" style="78" customWidth="1"/>
    <col min="12" max="12" width="17.7109375" style="341" customWidth="1"/>
    <col min="13" max="13" width="2.7109375" style="341" customWidth="1"/>
    <col min="14" max="14" width="48.7109375" style="342" customWidth="1"/>
    <col min="15" max="15" width="3" style="342" customWidth="1"/>
    <col min="16" max="16" width="3" style="78" customWidth="1"/>
    <col min="17" max="17" width="32.85546875" style="343" bestFit="1" customWidth="1"/>
    <col min="18" max="16384" width="9.140625" style="78"/>
  </cols>
  <sheetData>
    <row r="1" spans="2:21" ht="15" customHeight="1" thickBot="1"/>
    <row r="2" spans="2:21" ht="17.25" customHeight="1">
      <c r="B2" s="344"/>
      <c r="C2" s="345"/>
      <c r="D2" s="525" t="s">
        <v>202</v>
      </c>
      <c r="E2" s="612"/>
      <c r="F2" s="612"/>
      <c r="G2" s="612"/>
      <c r="H2" s="612"/>
      <c r="I2" s="612"/>
      <c r="J2" s="612"/>
      <c r="K2" s="612"/>
      <c r="L2" s="612"/>
      <c r="M2" s="612"/>
      <c r="N2" s="612"/>
      <c r="O2" s="346"/>
      <c r="P2" s="347"/>
    </row>
    <row r="3" spans="2:21" ht="15" customHeight="1">
      <c r="B3" s="348"/>
      <c r="C3" s="328"/>
      <c r="D3" s="349"/>
      <c r="E3" s="350"/>
      <c r="F3" s="350"/>
      <c r="G3" s="350"/>
      <c r="H3" s="52"/>
      <c r="I3" s="52"/>
      <c r="J3" s="52"/>
      <c r="K3" s="52"/>
      <c r="L3" s="351"/>
      <c r="M3" s="351"/>
      <c r="N3" s="352"/>
      <c r="O3" s="352"/>
      <c r="P3" s="353"/>
    </row>
    <row r="4" spans="2:21" ht="15" customHeight="1">
      <c r="B4" s="348"/>
      <c r="C4" s="328"/>
      <c r="D4" s="192" t="s">
        <v>22</v>
      </c>
      <c r="E4" s="354" t="str">
        <f>IF(ISBLANK('1. Instructions'!E6),"Please enter School Name on Tab 1.",'1. Instructions'!E6)</f>
        <v>GEO Acadmies - South Bend/Elkhart</v>
      </c>
      <c r="F4" s="354"/>
      <c r="G4" s="350"/>
      <c r="H4" s="52"/>
      <c r="I4" s="355"/>
      <c r="J4" s="52"/>
      <c r="K4" s="52"/>
      <c r="L4" s="52"/>
      <c r="M4" s="52"/>
      <c r="N4" s="52"/>
      <c r="O4" s="52"/>
      <c r="P4" s="353"/>
      <c r="Q4" s="78"/>
    </row>
    <row r="5" spans="2:21" ht="15" customHeight="1">
      <c r="B5" s="348"/>
      <c r="C5" s="328"/>
      <c r="D5" s="192" t="s">
        <v>23</v>
      </c>
      <c r="E5" s="354">
        <f>IF(ISBLANK('1. Instructions'!E7),"Please enter School's Opening Year on Tab 1.",'1. Instructions'!E7)</f>
        <v>2023</v>
      </c>
      <c r="F5" s="354"/>
      <c r="G5" s="350"/>
      <c r="H5" s="52"/>
      <c r="I5" s="355"/>
      <c r="J5" s="52"/>
      <c r="K5" s="52"/>
      <c r="L5" s="52"/>
      <c r="M5" s="52"/>
      <c r="N5" s="52"/>
      <c r="O5" s="52"/>
      <c r="P5" s="353"/>
      <c r="Q5" s="78"/>
    </row>
    <row r="6" spans="2:21" ht="15" customHeight="1">
      <c r="B6" s="348"/>
      <c r="C6" s="328"/>
      <c r="D6" s="356"/>
      <c r="E6" s="52"/>
      <c r="F6" s="52"/>
      <c r="G6" s="52"/>
      <c r="H6" s="52"/>
      <c r="I6" s="52"/>
      <c r="J6" s="52"/>
      <c r="K6" s="52"/>
      <c r="L6" s="204"/>
      <c r="M6" s="204"/>
      <c r="N6" s="204"/>
      <c r="O6" s="204"/>
      <c r="P6" s="353"/>
    </row>
    <row r="7" spans="2:21" ht="19.5" customHeight="1">
      <c r="B7" s="348"/>
      <c r="C7" s="328"/>
      <c r="D7" s="577" t="s">
        <v>109</v>
      </c>
      <c r="E7" s="578"/>
      <c r="F7" s="578"/>
      <c r="G7" s="578"/>
      <c r="H7" s="578"/>
      <c r="I7" s="578"/>
      <c r="J7" s="578"/>
      <c r="K7" s="578"/>
      <c r="L7" s="578"/>
      <c r="M7" s="578"/>
      <c r="N7" s="578"/>
      <c r="O7" s="578"/>
      <c r="P7" s="578"/>
      <c r="Q7" s="578"/>
      <c r="R7" s="578"/>
      <c r="S7" s="578"/>
      <c r="T7" s="52"/>
      <c r="U7" s="353"/>
    </row>
    <row r="8" spans="2:21" ht="46.5" customHeight="1">
      <c r="B8" s="348"/>
      <c r="C8" s="328"/>
      <c r="D8" s="573" t="s">
        <v>110</v>
      </c>
      <c r="E8" s="574"/>
      <c r="F8" s="574"/>
      <c r="G8" s="574"/>
      <c r="H8" s="574"/>
      <c r="I8" s="574"/>
      <c r="J8" s="574"/>
      <c r="K8" s="574"/>
      <c r="L8" s="574"/>
      <c r="M8" s="574"/>
      <c r="N8" s="574"/>
      <c r="O8" s="574"/>
      <c r="P8" s="575"/>
      <c r="Q8" s="575"/>
      <c r="R8" s="575"/>
      <c r="S8" s="576"/>
      <c r="T8" s="52"/>
      <c r="U8" s="353"/>
    </row>
    <row r="9" spans="2:21" ht="15" customHeight="1" thickBot="1">
      <c r="B9" s="348"/>
      <c r="C9" s="328"/>
      <c r="D9" s="424"/>
      <c r="E9" s="425"/>
      <c r="F9" s="484"/>
      <c r="G9" s="425"/>
      <c r="H9" s="425"/>
      <c r="I9" s="425"/>
      <c r="J9" s="425"/>
      <c r="K9" s="425"/>
      <c r="L9" s="425"/>
      <c r="M9" s="425"/>
      <c r="N9" s="425"/>
      <c r="O9" s="425"/>
      <c r="P9" s="204"/>
      <c r="Q9" s="52"/>
      <c r="R9" s="355"/>
      <c r="S9" s="52"/>
      <c r="T9" s="52"/>
      <c r="U9" s="353"/>
    </row>
    <row r="10" spans="2:21" ht="32.25" customHeight="1" thickBot="1">
      <c r="B10" s="348"/>
      <c r="C10" s="328"/>
      <c r="D10" s="579" t="s">
        <v>111</v>
      </c>
      <c r="E10" s="580"/>
      <c r="F10" s="580"/>
      <c r="G10" s="580"/>
      <c r="H10" s="580"/>
      <c r="I10" s="580"/>
      <c r="J10" s="580"/>
      <c r="K10" s="580"/>
      <c r="L10" s="580"/>
      <c r="M10" s="580"/>
      <c r="N10" s="580"/>
      <c r="O10" s="580"/>
      <c r="P10" s="581"/>
      <c r="Q10" s="581"/>
      <c r="R10" s="581"/>
      <c r="S10" s="582"/>
      <c r="T10" s="52"/>
      <c r="U10" s="353"/>
    </row>
    <row r="11" spans="2:21" ht="15" customHeight="1">
      <c r="B11" s="348"/>
      <c r="C11" s="328"/>
      <c r="D11" s="356"/>
      <c r="E11" s="52"/>
      <c r="F11" s="52"/>
      <c r="G11" s="328"/>
      <c r="H11" s="328"/>
      <c r="I11" s="328"/>
      <c r="J11" s="328"/>
      <c r="K11" s="328"/>
      <c r="L11" s="204"/>
      <c r="M11" s="204"/>
      <c r="N11" s="194"/>
      <c r="O11" s="194"/>
      <c r="P11" s="353"/>
    </row>
    <row r="12" spans="2:21" ht="15" customHeight="1" thickBot="1">
      <c r="B12" s="348"/>
      <c r="C12" s="359"/>
      <c r="D12" s="360"/>
      <c r="E12" s="101"/>
      <c r="F12" s="101"/>
      <c r="G12" s="99"/>
      <c r="H12" s="99"/>
      <c r="I12" s="99"/>
      <c r="J12" s="99"/>
      <c r="K12" s="99"/>
      <c r="L12" s="361"/>
      <c r="M12" s="361"/>
      <c r="N12" s="357"/>
      <c r="O12" s="358"/>
      <c r="P12" s="353"/>
    </row>
    <row r="13" spans="2:21" ht="15" customHeight="1">
      <c r="B13" s="348"/>
      <c r="C13" s="363"/>
      <c r="D13" s="567" t="s">
        <v>203</v>
      </c>
      <c r="E13" s="568"/>
      <c r="F13" s="447"/>
      <c r="G13" s="603" t="s">
        <v>61</v>
      </c>
      <c r="H13" s="603" t="s">
        <v>29</v>
      </c>
      <c r="I13" s="603" t="s">
        <v>30</v>
      </c>
      <c r="J13" s="603" t="s">
        <v>31</v>
      </c>
      <c r="K13" s="603" t="s">
        <v>32</v>
      </c>
      <c r="L13" s="605" t="s">
        <v>33</v>
      </c>
      <c r="M13" s="431"/>
      <c r="N13" s="605" t="s">
        <v>204</v>
      </c>
      <c r="O13" s="362"/>
      <c r="P13" s="353"/>
    </row>
    <row r="14" spans="2:21" ht="15" customHeight="1">
      <c r="B14" s="348"/>
      <c r="C14" s="363"/>
      <c r="D14" s="569"/>
      <c r="E14" s="570"/>
      <c r="F14" s="419"/>
      <c r="G14" s="613"/>
      <c r="H14" s="604"/>
      <c r="I14" s="604"/>
      <c r="J14" s="604"/>
      <c r="K14" s="604"/>
      <c r="L14" s="604"/>
      <c r="M14" s="432"/>
      <c r="N14" s="613"/>
      <c r="O14" s="419"/>
      <c r="P14" s="353"/>
    </row>
    <row r="15" spans="2:21" ht="15.75" customHeight="1">
      <c r="B15" s="348"/>
      <c r="C15" s="363"/>
      <c r="D15" s="456"/>
      <c r="E15" s="457"/>
      <c r="F15" s="154"/>
      <c r="G15" s="393"/>
      <c r="H15" s="101"/>
      <c r="I15" s="101"/>
      <c r="J15" s="101"/>
      <c r="K15" s="101"/>
      <c r="L15" s="101"/>
      <c r="M15" s="52"/>
      <c r="N15" s="393"/>
      <c r="O15" s="419"/>
      <c r="P15" s="353"/>
    </row>
    <row r="16" spans="2:21" ht="15.75" customHeight="1">
      <c r="B16" s="348"/>
      <c r="C16" s="363"/>
      <c r="D16" s="598" t="s">
        <v>205</v>
      </c>
      <c r="E16" s="599"/>
      <c r="F16" s="350"/>
      <c r="G16" s="350"/>
      <c r="H16" s="384"/>
      <c r="I16" s="384"/>
      <c r="J16" s="384"/>
      <c r="K16" s="384"/>
      <c r="L16" s="385"/>
      <c r="M16" s="351"/>
      <c r="N16" s="434" t="s">
        <v>206</v>
      </c>
      <c r="O16" s="365"/>
      <c r="P16" s="353"/>
      <c r="Q16" s="366"/>
    </row>
    <row r="17" spans="2:17" ht="15.75" customHeight="1">
      <c r="B17" s="348"/>
      <c r="C17" s="363"/>
      <c r="D17" s="562" t="s">
        <v>207</v>
      </c>
      <c r="E17" s="563"/>
      <c r="F17" s="52"/>
      <c r="G17" s="372"/>
      <c r="H17" s="368">
        <f>IF('2. Enrollment Projections'!E33 &gt; 0, '2. Enrollment Projections'!E43, '2. Enrollment Projections'!E41)</f>
        <v>1493529.31</v>
      </c>
      <c r="I17" s="368">
        <f>IF('2. Enrollment Projections'!F33 &gt; 0, '2. Enrollment Projections'!F43, '2. Enrollment Projections'!F41)</f>
        <v>2240293.9649999999</v>
      </c>
      <c r="J17" s="368">
        <f>IF('2. Enrollment Projections'!G33 &gt; 0, '2. Enrollment Projections'!G43, '2. Enrollment Projections'!G41)</f>
        <v>3025158.8574999999</v>
      </c>
      <c r="K17" s="368">
        <f>IF('2. Enrollment Projections'!H33 &gt; 0, '2. Enrollment Projections'!H43, '2. Enrollment Projections'!H41)</f>
        <v>3025158.8574999999</v>
      </c>
      <c r="L17" s="368">
        <f>IF('2. Enrollment Projections'!I33 &gt; 0, '2. Enrollment Projections'!I43, '2. Enrollment Projections'!I41)</f>
        <v>3025158.8574999999</v>
      </c>
      <c r="M17" s="426"/>
      <c r="N17" s="614" t="s">
        <v>208</v>
      </c>
      <c r="O17" s="365"/>
      <c r="P17" s="369"/>
    </row>
    <row r="18" spans="2:17" ht="15.75" customHeight="1">
      <c r="B18" s="348"/>
      <c r="C18" s="363"/>
      <c r="D18" s="562" t="s">
        <v>209</v>
      </c>
      <c r="E18" s="563"/>
      <c r="F18" s="52"/>
      <c r="G18" s="372"/>
      <c r="H18" s="368">
        <f>IF('2. Enrollment Projections'!E33&gt;0,('2. Enrollment Projections'!E33*'2. Enrollment Projections'!E36)*CONTROL!$K$21,('2. Enrollment Projections'!E29*'2. Enrollment Projections'!E36)*CONTROL!$K$21)</f>
        <v>52077.200000000004</v>
      </c>
      <c r="I18" s="368">
        <f>IF('2. Enrollment Projections'!F33&gt;0,('2. Enrollment Projections'!F33*'2. Enrollment Projections'!F36)*CONTROL!$K$21,('2. Enrollment Projections'!F29*'2. Enrollment Projections'!F36)*CONTROL!$K$21)</f>
        <v>78115.8</v>
      </c>
      <c r="J18" s="368">
        <f>IF('2. Enrollment Projections'!G33&gt;0,('2. Enrollment Projections'!G33*'2. Enrollment Projections'!G36)*CONTROL!$K$21,('2. Enrollment Projections'!G29*'2. Enrollment Projections'!G36)*CONTROL!$K$21)</f>
        <v>105482.90000000001</v>
      </c>
      <c r="K18" s="368">
        <f>IF('2. Enrollment Projections'!H33&gt;0,('2. Enrollment Projections'!H33*'2. Enrollment Projections'!H36)*CONTROL!$K$21,('2. Enrollment Projections'!H29*'2. Enrollment Projections'!H36)*CONTROL!$K$21)</f>
        <v>105482.90000000001</v>
      </c>
      <c r="L18" s="368">
        <f>IF('2. Enrollment Projections'!I33&gt;0,('2. Enrollment Projections'!I33*'2. Enrollment Projections'!I36)*CONTROL!$K$21,('2. Enrollment Projections'!I29*'2. Enrollment Projections'!I36)*CONTROL!$K$21)</f>
        <v>105482.90000000001</v>
      </c>
      <c r="M18" s="426"/>
      <c r="N18" s="615"/>
      <c r="O18" s="370"/>
      <c r="P18" s="369"/>
      <c r="Q18" s="78"/>
    </row>
    <row r="19" spans="2:17" ht="15.75" customHeight="1">
      <c r="B19" s="348"/>
      <c r="C19" s="363"/>
      <c r="D19" s="544" t="s">
        <v>210</v>
      </c>
      <c r="E19" s="602"/>
      <c r="F19" s="52"/>
      <c r="G19" s="372"/>
      <c r="H19" s="371">
        <v>0</v>
      </c>
      <c r="I19" s="371">
        <v>0</v>
      </c>
      <c r="J19" s="371">
        <v>0</v>
      </c>
      <c r="K19" s="371">
        <v>0</v>
      </c>
      <c r="L19" s="371">
        <v>0</v>
      </c>
      <c r="M19" s="433"/>
      <c r="N19" s="615"/>
      <c r="O19" s="365"/>
      <c r="P19" s="369"/>
    </row>
    <row r="20" spans="2:17" ht="15.75" customHeight="1">
      <c r="B20" s="348"/>
      <c r="C20" s="363"/>
      <c r="D20" s="562" t="s">
        <v>211</v>
      </c>
      <c r="E20" s="563"/>
      <c r="F20" s="52"/>
      <c r="G20" s="372"/>
      <c r="H20" s="371">
        <v>0</v>
      </c>
      <c r="I20" s="371">
        <v>0</v>
      </c>
      <c r="J20" s="371">
        <v>0</v>
      </c>
      <c r="K20" s="371">
        <v>0</v>
      </c>
      <c r="L20" s="371">
        <v>0</v>
      </c>
      <c r="M20" s="433"/>
      <c r="N20" s="615"/>
      <c r="O20" s="365"/>
      <c r="P20" s="369"/>
    </row>
    <row r="21" spans="2:17" ht="15.75" customHeight="1">
      <c r="B21" s="348"/>
      <c r="C21" s="363"/>
      <c r="D21" s="562" t="s">
        <v>212</v>
      </c>
      <c r="E21" s="563"/>
      <c r="F21" s="52"/>
      <c r="G21" s="372"/>
      <c r="H21" s="371">
        <f>1250*160</f>
        <v>200000</v>
      </c>
      <c r="I21" s="371">
        <f>1250*240</f>
        <v>300000</v>
      </c>
      <c r="J21" s="371">
        <f>1250*325</f>
        <v>406250</v>
      </c>
      <c r="K21" s="371">
        <f>1250*325</f>
        <v>406250</v>
      </c>
      <c r="L21" s="371">
        <f>1250*325</f>
        <v>406250</v>
      </c>
      <c r="M21" s="433"/>
      <c r="N21" s="615"/>
      <c r="O21" s="365"/>
      <c r="P21" s="369"/>
    </row>
    <row r="22" spans="2:17" ht="15.75" customHeight="1">
      <c r="B22" s="348"/>
      <c r="C22" s="363"/>
      <c r="D22" s="562" t="s">
        <v>213</v>
      </c>
      <c r="E22" s="563"/>
      <c r="F22" s="52"/>
      <c r="G22" s="372"/>
      <c r="H22" s="371">
        <v>0</v>
      </c>
      <c r="I22" s="371">
        <v>0</v>
      </c>
      <c r="J22" s="371">
        <v>0</v>
      </c>
      <c r="K22" s="371">
        <v>0</v>
      </c>
      <c r="L22" s="371">
        <v>0</v>
      </c>
      <c r="M22" s="433"/>
      <c r="N22" s="615"/>
      <c r="O22" s="365"/>
      <c r="P22" s="369"/>
    </row>
    <row r="23" spans="2:17" ht="15.75" customHeight="1">
      <c r="B23" s="348"/>
      <c r="C23" s="363"/>
      <c r="D23" s="562" t="s">
        <v>214</v>
      </c>
      <c r="E23" s="563"/>
      <c r="F23" s="52"/>
      <c r="G23" s="372"/>
      <c r="H23" s="371">
        <v>0</v>
      </c>
      <c r="I23" s="371">
        <v>0</v>
      </c>
      <c r="J23" s="371">
        <v>0</v>
      </c>
      <c r="K23" s="371">
        <v>0</v>
      </c>
      <c r="L23" s="371">
        <v>0</v>
      </c>
      <c r="M23" s="433"/>
      <c r="N23" s="615"/>
      <c r="O23" s="373"/>
      <c r="P23" s="369"/>
    </row>
    <row r="24" spans="2:17" ht="15.75" customHeight="1">
      <c r="B24" s="348"/>
      <c r="C24" s="363"/>
      <c r="D24" s="562" t="s">
        <v>215</v>
      </c>
      <c r="E24" s="563"/>
      <c r="F24" s="52"/>
      <c r="G24" s="372"/>
      <c r="H24" s="371"/>
      <c r="I24" s="371"/>
      <c r="J24" s="371"/>
      <c r="K24" s="371"/>
      <c r="L24" s="371"/>
      <c r="M24" s="433"/>
      <c r="N24" s="615"/>
      <c r="O24" s="373"/>
      <c r="P24" s="369"/>
    </row>
    <row r="25" spans="2:17" ht="15.75" customHeight="1">
      <c r="B25" s="348"/>
      <c r="C25" s="363"/>
      <c r="D25" s="562" t="s">
        <v>216</v>
      </c>
      <c r="E25" s="563"/>
      <c r="F25" s="52"/>
      <c r="G25" s="372"/>
      <c r="H25" s="371">
        <f>0.2*H100</f>
        <v>19600</v>
      </c>
      <c r="I25" s="371">
        <f>0.2*I100</f>
        <v>29400</v>
      </c>
      <c r="J25" s="371">
        <f>0.2*J100</f>
        <v>63520</v>
      </c>
      <c r="K25" s="371">
        <f>0.2*K100</f>
        <v>63520</v>
      </c>
      <c r="L25" s="371">
        <f>0.2*L100</f>
        <v>63520</v>
      </c>
      <c r="M25" s="436"/>
      <c r="N25" s="615"/>
      <c r="O25" s="374"/>
      <c r="P25" s="369"/>
    </row>
    <row r="26" spans="2:17" ht="15.75" customHeight="1">
      <c r="B26" s="348"/>
      <c r="C26" s="363"/>
      <c r="D26" s="600" t="s">
        <v>217</v>
      </c>
      <c r="E26" s="601"/>
      <c r="F26" s="52"/>
      <c r="G26" s="372"/>
      <c r="H26" s="371">
        <v>0</v>
      </c>
      <c r="I26" s="371">
        <v>0</v>
      </c>
      <c r="J26" s="371">
        <v>0</v>
      </c>
      <c r="K26" s="371">
        <v>0</v>
      </c>
      <c r="L26" s="371">
        <v>0</v>
      </c>
      <c r="M26" s="436"/>
      <c r="N26" s="615"/>
      <c r="O26" s="365"/>
      <c r="P26" s="369"/>
      <c r="Q26" s="78"/>
    </row>
    <row r="27" spans="2:17" ht="15.75" customHeight="1">
      <c r="B27" s="348"/>
      <c r="C27" s="363"/>
      <c r="D27" s="562" t="s">
        <v>218</v>
      </c>
      <c r="E27" s="563"/>
      <c r="F27" s="52"/>
      <c r="G27" s="372"/>
      <c r="H27" s="371">
        <v>0</v>
      </c>
      <c r="I27" s="371">
        <v>0</v>
      </c>
      <c r="J27" s="371">
        <v>0</v>
      </c>
      <c r="K27" s="371">
        <v>0</v>
      </c>
      <c r="L27" s="371">
        <v>0</v>
      </c>
      <c r="M27" s="433"/>
      <c r="N27" s="615"/>
      <c r="O27" s="365"/>
      <c r="P27" s="369"/>
      <c r="Q27" s="78"/>
    </row>
    <row r="28" spans="2:17" ht="15.75" customHeight="1">
      <c r="B28" s="348"/>
      <c r="C28" s="363"/>
      <c r="D28" s="562" t="s">
        <v>219</v>
      </c>
      <c r="E28" s="563"/>
      <c r="F28" s="52"/>
      <c r="G28" s="372"/>
      <c r="H28" s="371"/>
      <c r="I28" s="371"/>
      <c r="J28" s="371"/>
      <c r="K28" s="371"/>
      <c r="L28" s="371"/>
      <c r="M28" s="433"/>
      <c r="N28" s="615"/>
      <c r="O28" s="365"/>
      <c r="P28" s="369"/>
      <c r="Q28" s="78"/>
    </row>
    <row r="29" spans="2:17" ht="15.75" customHeight="1">
      <c r="B29" s="348"/>
      <c r="C29" s="363"/>
      <c r="D29" s="544"/>
      <c r="E29" s="545"/>
      <c r="F29" s="52"/>
      <c r="G29" s="372"/>
      <c r="H29" s="100"/>
      <c r="I29" s="100"/>
      <c r="J29" s="100"/>
      <c r="K29" s="100"/>
      <c r="L29" s="364"/>
      <c r="M29" s="351"/>
      <c r="N29" s="609"/>
      <c r="O29" s="365"/>
      <c r="P29" s="375"/>
      <c r="Q29" s="78"/>
    </row>
    <row r="30" spans="2:17" ht="15.75" customHeight="1">
      <c r="B30" s="348"/>
      <c r="C30" s="363"/>
      <c r="D30" s="546" t="s">
        <v>220</v>
      </c>
      <c r="E30" s="547"/>
      <c r="F30" s="103"/>
      <c r="G30" s="376"/>
      <c r="H30" s="377">
        <f>SUM(H17:H28)</f>
        <v>1765206.51</v>
      </c>
      <c r="I30" s="377">
        <f>SUM(I17:I28)</f>
        <v>2647809.7649999997</v>
      </c>
      <c r="J30" s="377">
        <f>SUM(J17:J28)</f>
        <v>3600411.7574999998</v>
      </c>
      <c r="K30" s="377">
        <f>SUM(K17:K28)</f>
        <v>3600411.7574999998</v>
      </c>
      <c r="L30" s="378">
        <f>SUM(L17:L28)</f>
        <v>3600411.7574999998</v>
      </c>
      <c r="M30" s="427"/>
      <c r="N30" s="610"/>
      <c r="O30" s="365"/>
      <c r="P30" s="375"/>
      <c r="Q30" s="78"/>
    </row>
    <row r="31" spans="2:17" ht="15.75" customHeight="1">
      <c r="B31" s="348"/>
      <c r="C31" s="363"/>
      <c r="D31" s="544"/>
      <c r="E31" s="545"/>
      <c r="F31" s="52"/>
      <c r="G31" s="372"/>
      <c r="H31" s="101"/>
      <c r="I31" s="101"/>
      <c r="J31" s="101"/>
      <c r="K31" s="101"/>
      <c r="L31" s="379"/>
      <c r="M31" s="351"/>
      <c r="N31" s="418"/>
      <c r="O31" s="365"/>
      <c r="P31" s="375"/>
      <c r="Q31" s="78"/>
    </row>
    <row r="32" spans="2:17" ht="15.75" customHeight="1">
      <c r="B32" s="348"/>
      <c r="C32" s="363"/>
      <c r="D32" s="548" t="s">
        <v>126</v>
      </c>
      <c r="E32" s="549"/>
      <c r="F32" s="350"/>
      <c r="G32" s="388"/>
      <c r="H32" s="596"/>
      <c r="I32" s="597"/>
      <c r="J32" s="597"/>
      <c r="K32" s="597"/>
      <c r="L32" s="597"/>
      <c r="M32" s="355"/>
      <c r="N32" s="437" t="s">
        <v>221</v>
      </c>
      <c r="O32" s="365"/>
      <c r="P32" s="375"/>
      <c r="Q32" s="78"/>
    </row>
    <row r="33" spans="2:17" ht="15.75" customHeight="1">
      <c r="B33" s="348"/>
      <c r="C33" s="363"/>
      <c r="D33" s="544" t="s">
        <v>222</v>
      </c>
      <c r="E33" s="545"/>
      <c r="F33" s="441"/>
      <c r="G33" s="446">
        <f>'4. Budget &amp; Cash Flow (Year 0)'!S16</f>
        <v>0</v>
      </c>
      <c r="H33" s="371">
        <v>0</v>
      </c>
      <c r="I33" s="371">
        <v>0</v>
      </c>
      <c r="J33" s="371">
        <v>0</v>
      </c>
      <c r="K33" s="371">
        <v>0</v>
      </c>
      <c r="L33" s="371"/>
      <c r="M33" s="436"/>
      <c r="N33" s="607"/>
      <c r="O33" s="374"/>
      <c r="P33" s="375"/>
      <c r="Q33" s="78"/>
    </row>
    <row r="34" spans="2:17" ht="15.75" customHeight="1">
      <c r="B34" s="348"/>
      <c r="C34" s="363"/>
      <c r="D34" s="544" t="s">
        <v>223</v>
      </c>
      <c r="E34" s="545"/>
      <c r="F34" s="52"/>
      <c r="G34" s="372"/>
      <c r="H34" s="371">
        <v>0</v>
      </c>
      <c r="I34" s="371">
        <v>0</v>
      </c>
      <c r="J34" s="371">
        <v>0</v>
      </c>
      <c r="K34" s="371">
        <v>0</v>
      </c>
      <c r="L34" s="371">
        <v>0</v>
      </c>
      <c r="M34" s="433"/>
      <c r="N34" s="608"/>
      <c r="O34" s="365"/>
      <c r="P34" s="369"/>
      <c r="Q34" s="78"/>
    </row>
    <row r="35" spans="2:17" ht="15.75" customHeight="1">
      <c r="B35" s="348"/>
      <c r="C35" s="363"/>
      <c r="D35" s="544" t="s">
        <v>224</v>
      </c>
      <c r="E35" s="545"/>
      <c r="F35" s="52"/>
      <c r="G35" s="372"/>
      <c r="H35" s="371">
        <f>250*100</f>
        <v>25000</v>
      </c>
      <c r="I35" s="371">
        <f>250*140</f>
        <v>35000</v>
      </c>
      <c r="J35" s="371">
        <f>250*200</f>
        <v>50000</v>
      </c>
      <c r="K35" s="371">
        <f>250*260</f>
        <v>65000</v>
      </c>
      <c r="L35" s="371">
        <f>250*300</f>
        <v>75000</v>
      </c>
      <c r="M35" s="433"/>
      <c r="N35" s="608"/>
      <c r="O35" s="365"/>
      <c r="P35" s="375"/>
      <c r="Q35" s="78"/>
    </row>
    <row r="36" spans="2:17" ht="15.75" customHeight="1">
      <c r="B36" s="348"/>
      <c r="C36" s="363"/>
      <c r="D36" s="544" t="s">
        <v>225</v>
      </c>
      <c r="E36" s="545"/>
      <c r="F36" s="52"/>
      <c r="G36" s="372"/>
      <c r="H36" s="371">
        <f>400*100</f>
        <v>40000</v>
      </c>
      <c r="I36" s="371">
        <f>400*140</f>
        <v>56000</v>
      </c>
      <c r="J36" s="371">
        <f>400*200</f>
        <v>80000</v>
      </c>
      <c r="K36" s="371">
        <f>400*260</f>
        <v>104000</v>
      </c>
      <c r="L36" s="371">
        <f>400*300</f>
        <v>120000</v>
      </c>
      <c r="M36" s="433"/>
      <c r="N36" s="608"/>
      <c r="O36" s="365"/>
      <c r="P36" s="375"/>
      <c r="Q36" s="78"/>
    </row>
    <row r="37" spans="2:17" ht="15.75" customHeight="1">
      <c r="B37" s="348"/>
      <c r="C37" s="363"/>
      <c r="D37" s="544" t="s">
        <v>226</v>
      </c>
      <c r="E37" s="545"/>
      <c r="F37" s="52"/>
      <c r="G37" s="372"/>
      <c r="H37" s="371">
        <f>50*100</f>
        <v>5000</v>
      </c>
      <c r="I37" s="371">
        <f>50*140</f>
        <v>7000</v>
      </c>
      <c r="J37" s="371">
        <f>50*200</f>
        <v>10000</v>
      </c>
      <c r="K37" s="371">
        <f>50*260</f>
        <v>13000</v>
      </c>
      <c r="L37" s="371">
        <f>50*300</f>
        <v>15000</v>
      </c>
      <c r="M37" s="433"/>
      <c r="N37" s="608"/>
      <c r="O37" s="365"/>
      <c r="P37" s="375"/>
      <c r="Q37" s="78"/>
    </row>
    <row r="38" spans="2:17" ht="15.75" customHeight="1">
      <c r="B38" s="348"/>
      <c r="C38" s="363"/>
      <c r="D38" s="544" t="s">
        <v>227</v>
      </c>
      <c r="E38" s="545"/>
      <c r="F38" s="52"/>
      <c r="G38" s="372"/>
      <c r="H38" s="371">
        <f>720*100</f>
        <v>72000</v>
      </c>
      <c r="I38" s="371">
        <f>720*140</f>
        <v>100800</v>
      </c>
      <c r="J38" s="371">
        <f>720*200</f>
        <v>144000</v>
      </c>
      <c r="K38" s="371">
        <f>720*260</f>
        <v>187200</v>
      </c>
      <c r="L38" s="371">
        <f>720*300</f>
        <v>216000</v>
      </c>
      <c r="M38" s="433"/>
      <c r="N38" s="608"/>
      <c r="O38" s="365"/>
      <c r="P38" s="375"/>
      <c r="Q38" s="78"/>
    </row>
    <row r="39" spans="2:17" ht="15.75" customHeight="1">
      <c r="B39" s="348"/>
      <c r="C39" s="363"/>
      <c r="D39" s="544" t="s">
        <v>228</v>
      </c>
      <c r="E39" s="545"/>
      <c r="F39" s="52"/>
      <c r="G39" s="372"/>
      <c r="H39" s="371">
        <v>0</v>
      </c>
      <c r="I39" s="371">
        <v>0</v>
      </c>
      <c r="J39" s="371">
        <v>0</v>
      </c>
      <c r="K39" s="371">
        <v>0</v>
      </c>
      <c r="L39" s="371">
        <v>0</v>
      </c>
      <c r="M39" s="433"/>
      <c r="N39" s="608"/>
      <c r="O39" s="365"/>
      <c r="P39" s="375"/>
      <c r="Q39" s="78"/>
    </row>
    <row r="40" spans="2:17" ht="15.75" customHeight="1">
      <c r="B40" s="348"/>
      <c r="C40" s="363"/>
      <c r="D40" s="544" t="s">
        <v>229</v>
      </c>
      <c r="E40" s="545"/>
      <c r="F40" s="441"/>
      <c r="G40" s="446">
        <f>'4. Budget &amp; Cash Flow (Year 0)'!S17</f>
        <v>0</v>
      </c>
      <c r="H40" s="371">
        <v>0</v>
      </c>
      <c r="I40" s="371">
        <v>0</v>
      </c>
      <c r="J40" s="371">
        <v>0</v>
      </c>
      <c r="K40" s="371">
        <v>0</v>
      </c>
      <c r="L40" s="371">
        <v>0</v>
      </c>
      <c r="M40" s="433"/>
      <c r="N40" s="608"/>
      <c r="O40" s="365"/>
      <c r="P40" s="375"/>
    </row>
    <row r="41" spans="2:17" ht="15.75" customHeight="1">
      <c r="B41" s="348"/>
      <c r="C41" s="363"/>
      <c r="D41" s="544"/>
      <c r="E41" s="545"/>
      <c r="F41" s="52"/>
      <c r="G41" s="381"/>
      <c r="H41" s="100"/>
      <c r="I41" s="100"/>
      <c r="J41" s="100"/>
      <c r="K41" s="100"/>
      <c r="L41" s="364"/>
      <c r="M41" s="351"/>
      <c r="N41" s="609"/>
      <c r="O41" s="365"/>
      <c r="P41" s="375"/>
    </row>
    <row r="42" spans="2:17" ht="15.75" customHeight="1">
      <c r="B42" s="348"/>
      <c r="C42" s="363"/>
      <c r="D42" s="546" t="s">
        <v>129</v>
      </c>
      <c r="E42" s="547"/>
      <c r="F42" s="102"/>
      <c r="G42" s="382">
        <f>G33+G40</f>
        <v>0</v>
      </c>
      <c r="H42" s="377">
        <f>SUM(H33:H40)</f>
        <v>142000</v>
      </c>
      <c r="I42" s="377">
        <f>SUM(I33:I40)</f>
        <v>198800</v>
      </c>
      <c r="J42" s="377">
        <f>SUM(J33:J40)</f>
        <v>284000</v>
      </c>
      <c r="K42" s="377">
        <f>SUM(K33:K40)</f>
        <v>369200</v>
      </c>
      <c r="L42" s="377">
        <f>SUM(L33:L40)</f>
        <v>426000</v>
      </c>
      <c r="M42" s="427"/>
      <c r="N42" s="610"/>
      <c r="O42" s="365"/>
      <c r="P42" s="375"/>
    </row>
    <row r="43" spans="2:17" ht="15.75" customHeight="1">
      <c r="B43" s="348"/>
      <c r="C43" s="363"/>
      <c r="D43" s="544"/>
      <c r="E43" s="545"/>
      <c r="F43" s="52"/>
      <c r="G43" s="383"/>
      <c r="H43" s="101"/>
      <c r="I43" s="101"/>
      <c r="J43" s="101"/>
      <c r="K43" s="101"/>
      <c r="L43" s="379"/>
      <c r="M43" s="351"/>
      <c r="N43" s="418"/>
      <c r="O43" s="365"/>
      <c r="P43" s="375"/>
    </row>
    <row r="44" spans="2:17" ht="15.75" customHeight="1">
      <c r="B44" s="348"/>
      <c r="C44" s="363"/>
      <c r="D44" s="548" t="s">
        <v>130</v>
      </c>
      <c r="E44" s="549"/>
      <c r="F44" s="350"/>
      <c r="G44" s="444"/>
      <c r="H44" s="384"/>
      <c r="I44" s="384"/>
      <c r="J44" s="384"/>
      <c r="K44" s="384"/>
      <c r="L44" s="385"/>
      <c r="M44" s="351"/>
      <c r="N44" s="437" t="s">
        <v>230</v>
      </c>
      <c r="O44" s="365"/>
      <c r="P44" s="375"/>
    </row>
    <row r="45" spans="2:17" ht="15.75" customHeight="1">
      <c r="B45" s="348"/>
      <c r="C45" s="363"/>
      <c r="D45" s="544" t="s">
        <v>131</v>
      </c>
      <c r="E45" s="545"/>
      <c r="F45" s="441"/>
      <c r="G45" s="380">
        <f>'4. Budget &amp; Cash Flow (Year 0)'!S22</f>
        <v>0</v>
      </c>
      <c r="H45" s="371">
        <v>0</v>
      </c>
      <c r="I45" s="371">
        <v>0</v>
      </c>
      <c r="J45" s="371">
        <v>0</v>
      </c>
      <c r="K45" s="371">
        <v>0</v>
      </c>
      <c r="L45" s="371">
        <v>0</v>
      </c>
      <c r="M45" s="433"/>
      <c r="N45" s="611"/>
      <c r="O45" s="365"/>
      <c r="P45" s="375"/>
    </row>
    <row r="46" spans="2:17" ht="15.75" customHeight="1">
      <c r="B46" s="348"/>
      <c r="C46" s="363"/>
      <c r="D46" s="544" t="s">
        <v>231</v>
      </c>
      <c r="E46" s="545"/>
      <c r="F46" s="52"/>
      <c r="G46" s="445"/>
      <c r="H46" s="371">
        <v>0</v>
      </c>
      <c r="I46" s="371">
        <v>0</v>
      </c>
      <c r="J46" s="371">
        <v>0</v>
      </c>
      <c r="K46" s="371">
        <v>0</v>
      </c>
      <c r="L46" s="371">
        <v>0</v>
      </c>
      <c r="M46" s="433"/>
      <c r="N46" s="608"/>
      <c r="O46" s="365"/>
      <c r="P46" s="375"/>
    </row>
    <row r="47" spans="2:17" ht="15.75" customHeight="1">
      <c r="B47" s="348"/>
      <c r="C47" s="363"/>
      <c r="D47" s="544" t="s">
        <v>232</v>
      </c>
      <c r="E47" s="545"/>
      <c r="F47" s="52"/>
      <c r="G47" s="443"/>
      <c r="H47" s="371">
        <v>0</v>
      </c>
      <c r="I47" s="371">
        <v>0</v>
      </c>
      <c r="J47" s="371">
        <v>0</v>
      </c>
      <c r="K47" s="371">
        <v>0</v>
      </c>
      <c r="L47" s="371">
        <v>0</v>
      </c>
      <c r="M47" s="433"/>
      <c r="N47" s="608"/>
      <c r="O47" s="365"/>
      <c r="P47" s="375"/>
    </row>
    <row r="48" spans="2:17" ht="15.75" customHeight="1">
      <c r="B48" s="348"/>
      <c r="C48" s="363"/>
      <c r="D48" s="544" t="s">
        <v>132</v>
      </c>
      <c r="E48" s="545"/>
      <c r="F48" s="441"/>
      <c r="G48" s="380">
        <f>'4. Budget &amp; Cash Flow (Year 0)'!S23</f>
        <v>0</v>
      </c>
      <c r="H48" s="371">
        <v>0</v>
      </c>
      <c r="I48" s="371">
        <v>0</v>
      </c>
      <c r="J48" s="371">
        <v>0</v>
      </c>
      <c r="K48" s="371">
        <v>0</v>
      </c>
      <c r="L48" s="371">
        <v>0</v>
      </c>
      <c r="M48" s="433"/>
      <c r="N48" s="608"/>
      <c r="O48" s="365"/>
      <c r="P48" s="386"/>
    </row>
    <row r="49" spans="2:16" ht="15.75" customHeight="1">
      <c r="B49" s="348"/>
      <c r="C49" s="363"/>
      <c r="D49" s="544" t="s">
        <v>233</v>
      </c>
      <c r="E49" s="545"/>
      <c r="F49" s="441"/>
      <c r="G49" s="380">
        <f>'4. Budget &amp; Cash Flow (Year 0)'!S24</f>
        <v>200000.00000000003</v>
      </c>
      <c r="H49" s="371">
        <v>0</v>
      </c>
      <c r="I49" s="371">
        <v>0</v>
      </c>
      <c r="J49" s="371">
        <v>0</v>
      </c>
      <c r="K49" s="371">
        <v>0</v>
      </c>
      <c r="L49" s="371">
        <v>0</v>
      </c>
      <c r="M49" s="433"/>
      <c r="N49" s="608"/>
      <c r="O49" s="365"/>
      <c r="P49" s="386"/>
    </row>
    <row r="50" spans="2:16" ht="15.75" customHeight="1">
      <c r="B50" s="348"/>
      <c r="C50" s="363"/>
      <c r="D50" s="544"/>
      <c r="E50" s="545"/>
      <c r="F50" s="52"/>
      <c r="G50" s="381"/>
      <c r="H50" s="100"/>
      <c r="I50" s="100"/>
      <c r="J50" s="100"/>
      <c r="K50" s="100"/>
      <c r="L50" s="364"/>
      <c r="M50" s="351"/>
      <c r="N50" s="609"/>
      <c r="O50" s="365"/>
      <c r="P50" s="386"/>
    </row>
    <row r="51" spans="2:16" ht="15.75" customHeight="1">
      <c r="B51" s="348"/>
      <c r="C51" s="363"/>
      <c r="D51" s="546" t="s">
        <v>134</v>
      </c>
      <c r="E51" s="547"/>
      <c r="F51" s="102"/>
      <c r="G51" s="382">
        <f>G45+G48+G49</f>
        <v>200000.00000000003</v>
      </c>
      <c r="H51" s="377">
        <f>SUM(H45:H49)</f>
        <v>0</v>
      </c>
      <c r="I51" s="377">
        <f>SUM(I45:I49)</f>
        <v>0</v>
      </c>
      <c r="J51" s="377">
        <f>SUM(J45:J49)</f>
        <v>0</v>
      </c>
      <c r="K51" s="377">
        <f>SUM(K45:K49)</f>
        <v>0</v>
      </c>
      <c r="L51" s="377">
        <f>SUM(L45:L49)</f>
        <v>0</v>
      </c>
      <c r="M51" s="427"/>
      <c r="N51" s="610"/>
      <c r="O51" s="365"/>
      <c r="P51" s="386"/>
    </row>
    <row r="52" spans="2:16" ht="15.75" customHeight="1">
      <c r="B52" s="348"/>
      <c r="C52" s="363"/>
      <c r="D52" s="544"/>
      <c r="E52" s="545"/>
      <c r="F52" s="52"/>
      <c r="G52" s="381"/>
      <c r="H52" s="100"/>
      <c r="I52" s="100"/>
      <c r="J52" s="100"/>
      <c r="K52" s="100"/>
      <c r="L52" s="364"/>
      <c r="M52" s="351"/>
      <c r="N52" s="418"/>
      <c r="O52" s="365"/>
      <c r="P52" s="386"/>
    </row>
    <row r="53" spans="2:16" ht="15.75" customHeight="1">
      <c r="B53" s="348"/>
      <c r="C53" s="363"/>
      <c r="D53" s="550" t="s">
        <v>135</v>
      </c>
      <c r="E53" s="551"/>
      <c r="F53" s="102"/>
      <c r="G53" s="382">
        <f>G42+G51</f>
        <v>200000.00000000003</v>
      </c>
      <c r="H53" s="377">
        <f>H30+H42+H51</f>
        <v>1907206.51</v>
      </c>
      <c r="I53" s="377">
        <f>I30+I42+I51</f>
        <v>2846609.7649999997</v>
      </c>
      <c r="J53" s="377">
        <f>J30+J42+J51</f>
        <v>3884411.7574999998</v>
      </c>
      <c r="K53" s="377">
        <f>K30+K42+K51</f>
        <v>3969611.7574999998</v>
      </c>
      <c r="L53" s="377">
        <f>L30+L42+L51</f>
        <v>4026411.7574999998</v>
      </c>
      <c r="M53" s="427"/>
      <c r="N53" s="435"/>
      <c r="O53" s="365"/>
      <c r="P53" s="386"/>
    </row>
    <row r="54" spans="2:16" ht="15.75" customHeight="1">
      <c r="B54" s="348"/>
      <c r="C54" s="363"/>
      <c r="D54" s="452"/>
      <c r="E54" s="453"/>
      <c r="F54" s="52"/>
      <c r="G54" s="383"/>
      <c r="H54" s="101"/>
      <c r="I54" s="101"/>
      <c r="J54" s="101"/>
      <c r="K54" s="101"/>
      <c r="L54" s="379"/>
      <c r="M54" s="351"/>
      <c r="N54" s="420"/>
      <c r="O54" s="365"/>
      <c r="P54" s="386"/>
    </row>
    <row r="55" spans="2:16" ht="15.75" customHeight="1">
      <c r="B55" s="348"/>
      <c r="C55" s="363"/>
      <c r="D55" s="552" t="s">
        <v>136</v>
      </c>
      <c r="E55" s="553"/>
      <c r="F55" s="442"/>
      <c r="G55" s="388"/>
      <c r="H55" s="350"/>
      <c r="I55" s="350"/>
      <c r="J55" s="350"/>
      <c r="K55" s="350"/>
      <c r="L55" s="351"/>
      <c r="M55" s="351"/>
      <c r="N55" s="418"/>
      <c r="O55" s="365"/>
      <c r="P55" s="375"/>
    </row>
    <row r="56" spans="2:16" ht="15.75" customHeight="1">
      <c r="B56" s="348"/>
      <c r="C56" s="363"/>
      <c r="D56" s="554"/>
      <c r="E56" s="555"/>
      <c r="F56" s="52"/>
      <c r="G56" s="372"/>
      <c r="H56" s="52"/>
      <c r="I56" s="52"/>
      <c r="J56" s="52"/>
      <c r="K56" s="52"/>
      <c r="L56" s="351"/>
      <c r="M56" s="351"/>
      <c r="N56" s="418"/>
      <c r="O56" s="365"/>
      <c r="P56" s="375"/>
    </row>
    <row r="57" spans="2:16" ht="15.75" customHeight="1">
      <c r="B57" s="348"/>
      <c r="C57" s="363"/>
      <c r="D57" s="454"/>
      <c r="E57" s="455"/>
      <c r="F57" s="52"/>
      <c r="G57" s="372"/>
      <c r="H57" s="52"/>
      <c r="I57" s="52"/>
      <c r="J57" s="52"/>
      <c r="K57" s="52"/>
      <c r="L57" s="351"/>
      <c r="M57" s="351"/>
      <c r="N57" s="418"/>
      <c r="O57" s="365"/>
      <c r="P57" s="375"/>
    </row>
    <row r="58" spans="2:16" ht="15.75" customHeight="1">
      <c r="B58" s="348"/>
      <c r="C58" s="363"/>
      <c r="D58" s="548" t="s">
        <v>234</v>
      </c>
      <c r="E58" s="549"/>
      <c r="F58" s="350"/>
      <c r="G58" s="388"/>
      <c r="H58" s="384"/>
      <c r="I58" s="384"/>
      <c r="J58" s="384"/>
      <c r="K58" s="384"/>
      <c r="L58" s="385"/>
      <c r="M58" s="351"/>
      <c r="N58" s="420"/>
      <c r="O58" s="373"/>
      <c r="P58" s="369"/>
    </row>
    <row r="59" spans="2:16" ht="15.75" customHeight="1">
      <c r="B59" s="348"/>
      <c r="C59" s="363"/>
      <c r="D59" s="544" t="s">
        <v>235</v>
      </c>
      <c r="E59" s="545"/>
      <c r="F59" s="52"/>
      <c r="G59" s="367"/>
      <c r="H59" s="371">
        <v>0</v>
      </c>
      <c r="I59" s="371">
        <v>0</v>
      </c>
      <c r="J59" s="371">
        <v>0</v>
      </c>
      <c r="K59" s="371">
        <v>0</v>
      </c>
      <c r="L59" s="371">
        <v>0</v>
      </c>
      <c r="M59" s="433"/>
      <c r="N59" s="435"/>
      <c r="O59" s="365"/>
      <c r="P59" s="386"/>
    </row>
    <row r="60" spans="2:16" ht="15.75" customHeight="1">
      <c r="B60" s="348"/>
      <c r="C60" s="363"/>
      <c r="D60" s="544" t="s">
        <v>236</v>
      </c>
      <c r="E60" s="545"/>
      <c r="F60" s="52"/>
      <c r="G60" s="367"/>
      <c r="H60" s="371">
        <f>92700+70000</f>
        <v>162700</v>
      </c>
      <c r="I60" s="371">
        <f>95481+72100</f>
        <v>167581</v>
      </c>
      <c r="J60" s="371">
        <f>98345.43+74263</f>
        <v>172608.43</v>
      </c>
      <c r="K60" s="371">
        <f>101295.79+76490.89</f>
        <v>177786.68</v>
      </c>
      <c r="L60" s="371">
        <f>104334.67+78785.62</f>
        <v>183120.28999999998</v>
      </c>
      <c r="M60" s="433"/>
      <c r="N60" s="435"/>
      <c r="O60" s="365"/>
      <c r="P60" s="386"/>
    </row>
    <row r="61" spans="2:16" ht="15.75" customHeight="1">
      <c r="B61" s="348"/>
      <c r="C61" s="363"/>
      <c r="D61" s="544" t="s">
        <v>237</v>
      </c>
      <c r="E61" s="545"/>
      <c r="F61" s="52"/>
      <c r="G61" s="367"/>
      <c r="H61" s="371">
        <f>20600*2</f>
        <v>41200</v>
      </c>
      <c r="I61" s="371">
        <f>42436*2</f>
        <v>84872</v>
      </c>
      <c r="J61" s="371">
        <f>43709*2</f>
        <v>87418</v>
      </c>
      <c r="K61" s="371">
        <f>45020.35*2</f>
        <v>90040.7</v>
      </c>
      <c r="L61" s="371">
        <f>69556.44*2</f>
        <v>139112.88</v>
      </c>
      <c r="M61" s="433"/>
      <c r="N61" s="435"/>
      <c r="O61" s="365"/>
      <c r="P61" s="386"/>
    </row>
    <row r="62" spans="2:16" ht="15.75" customHeight="1">
      <c r="B62" s="348"/>
      <c r="C62" s="363"/>
      <c r="D62" s="544" t="s">
        <v>238</v>
      </c>
      <c r="E62" s="545"/>
      <c r="F62" s="52"/>
      <c r="G62" s="367"/>
      <c r="H62" s="371">
        <v>0</v>
      </c>
      <c r="I62" s="371">
        <v>0</v>
      </c>
      <c r="J62" s="371">
        <v>0</v>
      </c>
      <c r="K62" s="371">
        <v>0</v>
      </c>
      <c r="L62" s="371">
        <v>0</v>
      </c>
      <c r="M62" s="433"/>
      <c r="N62" s="435"/>
      <c r="O62" s="365"/>
      <c r="P62" s="375"/>
    </row>
    <row r="63" spans="2:16" ht="15.75" customHeight="1">
      <c r="B63" s="348"/>
      <c r="C63" s="363"/>
      <c r="D63" s="448"/>
      <c r="E63" s="449"/>
      <c r="F63" s="52"/>
      <c r="G63" s="372"/>
      <c r="H63" s="100"/>
      <c r="I63" s="100"/>
      <c r="J63" s="100"/>
      <c r="K63" s="100"/>
      <c r="L63" s="364"/>
      <c r="M63" s="351"/>
      <c r="N63" s="420"/>
      <c r="O63" s="365"/>
      <c r="P63" s="375"/>
    </row>
    <row r="64" spans="2:16" ht="15.75" customHeight="1">
      <c r="B64" s="348"/>
      <c r="C64" s="363"/>
      <c r="D64" s="546" t="s">
        <v>239</v>
      </c>
      <c r="E64" s="547"/>
      <c r="F64" s="103"/>
      <c r="G64" s="376"/>
      <c r="H64" s="377">
        <f>SUM(H59:H62)</f>
        <v>203900</v>
      </c>
      <c r="I64" s="377">
        <f>SUM(I59:I62)</f>
        <v>252453</v>
      </c>
      <c r="J64" s="377">
        <f>SUM(J59:J62)</f>
        <v>260026.43</v>
      </c>
      <c r="K64" s="377">
        <f>SUM(K59:K62)</f>
        <v>267827.38</v>
      </c>
      <c r="L64" s="377">
        <f>SUM(L59:L62)</f>
        <v>322233.17</v>
      </c>
      <c r="M64" s="427"/>
      <c r="N64" s="435"/>
      <c r="O64" s="365"/>
      <c r="P64" s="375"/>
    </row>
    <row r="65" spans="2:17" ht="15.75" customHeight="1">
      <c r="B65" s="348"/>
      <c r="C65" s="363"/>
      <c r="D65" s="450"/>
      <c r="E65" s="451"/>
      <c r="F65" s="350"/>
      <c r="G65" s="388"/>
      <c r="H65" s="101"/>
      <c r="I65" s="101"/>
      <c r="J65" s="101"/>
      <c r="K65" s="101"/>
      <c r="L65" s="379"/>
      <c r="M65" s="351"/>
      <c r="N65" s="420"/>
      <c r="O65" s="365"/>
      <c r="P65" s="375"/>
    </row>
    <row r="66" spans="2:17" ht="15.75" customHeight="1">
      <c r="B66" s="348"/>
      <c r="C66" s="363"/>
      <c r="D66" s="548" t="s">
        <v>240</v>
      </c>
      <c r="E66" s="549"/>
      <c r="F66" s="350"/>
      <c r="G66" s="388"/>
      <c r="H66" s="384"/>
      <c r="I66" s="384"/>
      <c r="J66" s="384"/>
      <c r="K66" s="384"/>
      <c r="L66" s="385"/>
      <c r="M66" s="351"/>
      <c r="N66" s="356"/>
      <c r="O66" s="389"/>
      <c r="P66" s="386"/>
      <c r="Q66" s="390"/>
    </row>
    <row r="67" spans="2:17" ht="15.75" customHeight="1">
      <c r="B67" s="348"/>
      <c r="C67" s="363"/>
      <c r="D67" s="544" t="s">
        <v>241</v>
      </c>
      <c r="E67" s="545"/>
      <c r="F67" s="52"/>
      <c r="G67" s="367"/>
      <c r="H67" s="371">
        <f>150000+50000</f>
        <v>200000</v>
      </c>
      <c r="I67" s="371">
        <f>206000+51500+51500</f>
        <v>309000</v>
      </c>
      <c r="J67" s="371">
        <f>106090+106090+51000+51000</f>
        <v>314180</v>
      </c>
      <c r="K67" s="371">
        <f>109272.7*2+52530+52530</f>
        <v>323605.40000000002</v>
      </c>
      <c r="L67" s="371">
        <f>112550.88*2+54105.9+54105.9</f>
        <v>333313.56000000006</v>
      </c>
      <c r="M67" s="433"/>
      <c r="N67" s="435"/>
      <c r="O67" s="365"/>
      <c r="P67" s="386"/>
    </row>
    <row r="68" spans="2:17" ht="15.75" customHeight="1">
      <c r="B68" s="348"/>
      <c r="C68" s="363"/>
      <c r="D68" s="544" t="s">
        <v>242</v>
      </c>
      <c r="E68" s="545"/>
      <c r="F68" s="52"/>
      <c r="G68" s="367"/>
      <c r="H68" s="371">
        <v>50000</v>
      </c>
      <c r="I68" s="371">
        <v>51500</v>
      </c>
      <c r="J68" s="371">
        <v>53045.16</v>
      </c>
      <c r="K68" s="371">
        <v>54636.35</v>
      </c>
      <c r="L68" s="371">
        <v>56275.44</v>
      </c>
      <c r="M68" s="433"/>
      <c r="N68" s="435"/>
      <c r="O68" s="365"/>
      <c r="P68" s="375"/>
    </row>
    <row r="69" spans="2:17" ht="15.75" customHeight="1">
      <c r="B69" s="348"/>
      <c r="C69" s="363"/>
      <c r="D69" s="544" t="s">
        <v>243</v>
      </c>
      <c r="E69" s="545"/>
      <c r="F69" s="52"/>
      <c r="G69" s="367"/>
      <c r="H69" s="371">
        <v>0</v>
      </c>
      <c r="I69" s="371">
        <v>74160</v>
      </c>
      <c r="J69" s="371">
        <v>76384.800000000003</v>
      </c>
      <c r="K69" s="371">
        <v>78676.350000000006</v>
      </c>
      <c r="L69" s="371">
        <v>81036.639999999999</v>
      </c>
      <c r="M69" s="433"/>
      <c r="N69" s="435"/>
      <c r="O69" s="365"/>
      <c r="P69" s="375"/>
    </row>
    <row r="70" spans="2:17" ht="15.75" customHeight="1">
      <c r="B70" s="348"/>
      <c r="C70" s="363"/>
      <c r="D70" s="544" t="s">
        <v>244</v>
      </c>
      <c r="E70" s="545"/>
      <c r="F70" s="52"/>
      <c r="G70" s="367"/>
      <c r="H70" s="371">
        <v>40000</v>
      </c>
      <c r="I70" s="371">
        <v>41200</v>
      </c>
      <c r="J70" s="371">
        <v>63654</v>
      </c>
      <c r="K70" s="371">
        <v>65563.62</v>
      </c>
      <c r="L70" s="371">
        <v>78785.62</v>
      </c>
      <c r="M70" s="433"/>
      <c r="N70" s="435"/>
      <c r="O70" s="365"/>
      <c r="P70" s="375"/>
    </row>
    <row r="71" spans="2:17" ht="15.75" customHeight="1">
      <c r="B71" s="348"/>
      <c r="C71" s="363"/>
      <c r="D71" s="448"/>
      <c r="E71" s="449"/>
      <c r="F71" s="52"/>
      <c r="G71" s="372"/>
      <c r="H71" s="100"/>
      <c r="I71" s="100"/>
      <c r="J71" s="100"/>
      <c r="K71" s="100"/>
      <c r="L71" s="364"/>
      <c r="M71" s="351"/>
      <c r="N71" s="420"/>
      <c r="O71" s="365"/>
      <c r="P71" s="375"/>
    </row>
    <row r="72" spans="2:17" ht="15.75" customHeight="1">
      <c r="B72" s="348"/>
      <c r="C72" s="363"/>
      <c r="D72" s="546" t="s">
        <v>76</v>
      </c>
      <c r="E72" s="547"/>
      <c r="F72" s="103"/>
      <c r="G72" s="376"/>
      <c r="H72" s="391">
        <f>SUM(H67:H70)</f>
        <v>290000</v>
      </c>
      <c r="I72" s="391">
        <f>SUM(I67:I70)</f>
        <v>475860</v>
      </c>
      <c r="J72" s="391">
        <f>SUM(J67:J70)</f>
        <v>507263.96</v>
      </c>
      <c r="K72" s="391">
        <f>SUM(K67:K70)</f>
        <v>522481.72</v>
      </c>
      <c r="L72" s="391">
        <f>SUM(L67:L70)</f>
        <v>549411.26</v>
      </c>
      <c r="M72" s="428"/>
      <c r="N72" s="435"/>
      <c r="O72" s="365"/>
      <c r="P72" s="375"/>
    </row>
    <row r="73" spans="2:17" ht="15.75" customHeight="1">
      <c r="B73" s="348"/>
      <c r="C73" s="363"/>
      <c r="D73" s="448"/>
      <c r="E73" s="449"/>
      <c r="F73" s="52"/>
      <c r="G73" s="372"/>
      <c r="H73" s="101"/>
      <c r="I73" s="101"/>
      <c r="J73" s="101"/>
      <c r="K73" s="101"/>
      <c r="L73" s="379"/>
      <c r="M73" s="351"/>
      <c r="N73" s="420"/>
      <c r="O73" s="365"/>
      <c r="P73" s="375"/>
    </row>
    <row r="74" spans="2:17" ht="15.75" customHeight="1">
      <c r="B74" s="348"/>
      <c r="C74" s="363"/>
      <c r="D74" s="548" t="s">
        <v>245</v>
      </c>
      <c r="E74" s="549"/>
      <c r="F74" s="350"/>
      <c r="G74" s="388"/>
      <c r="H74" s="384"/>
      <c r="I74" s="384"/>
      <c r="J74" s="384"/>
      <c r="K74" s="384"/>
      <c r="L74" s="385"/>
      <c r="M74" s="351"/>
      <c r="N74" s="437" t="s">
        <v>246</v>
      </c>
      <c r="O74" s="365"/>
      <c r="P74" s="375"/>
    </row>
    <row r="75" spans="2:17" ht="15.75" customHeight="1">
      <c r="B75" s="348"/>
      <c r="C75" s="363"/>
      <c r="D75" s="544" t="s">
        <v>247</v>
      </c>
      <c r="E75" s="545"/>
      <c r="F75" s="52"/>
      <c r="G75" s="367"/>
      <c r="H75" s="371">
        <v>0</v>
      </c>
      <c r="I75" s="371">
        <v>0</v>
      </c>
      <c r="J75" s="371">
        <v>65000</v>
      </c>
      <c r="K75" s="371">
        <v>66950</v>
      </c>
      <c r="L75" s="371">
        <v>68958.5</v>
      </c>
      <c r="M75" s="433"/>
      <c r="N75" s="611"/>
      <c r="O75" s="365"/>
      <c r="P75" s="369"/>
    </row>
    <row r="76" spans="2:17" ht="15.75" customHeight="1">
      <c r="B76" s="348"/>
      <c r="C76" s="363"/>
      <c r="D76" s="544" t="s">
        <v>248</v>
      </c>
      <c r="E76" s="545"/>
      <c r="F76" s="52"/>
      <c r="G76" s="367"/>
      <c r="H76" s="371">
        <v>0</v>
      </c>
      <c r="I76" s="371">
        <v>0</v>
      </c>
      <c r="J76" s="371">
        <v>0</v>
      </c>
      <c r="K76" s="371">
        <v>0</v>
      </c>
      <c r="L76" s="371">
        <v>0</v>
      </c>
      <c r="M76" s="433"/>
      <c r="N76" s="608"/>
      <c r="O76" s="365"/>
      <c r="P76" s="375"/>
    </row>
    <row r="77" spans="2:17" ht="15.75" customHeight="1">
      <c r="B77" s="348"/>
      <c r="C77" s="363"/>
      <c r="D77" s="544" t="s">
        <v>249</v>
      </c>
      <c r="E77" s="545"/>
      <c r="F77" s="52"/>
      <c r="G77" s="367"/>
      <c r="H77" s="371">
        <v>0</v>
      </c>
      <c r="I77" s="371">
        <v>0</v>
      </c>
      <c r="J77" s="371">
        <v>0</v>
      </c>
      <c r="K77" s="371">
        <v>0</v>
      </c>
      <c r="L77" s="371">
        <v>0</v>
      </c>
      <c r="M77" s="433"/>
      <c r="N77" s="608"/>
      <c r="O77" s="392"/>
      <c r="P77" s="375"/>
    </row>
    <row r="78" spans="2:17" ht="15.75" customHeight="1">
      <c r="B78" s="348"/>
      <c r="C78" s="363"/>
      <c r="D78" s="544" t="s">
        <v>250</v>
      </c>
      <c r="E78" s="545"/>
      <c r="F78" s="52"/>
      <c r="G78" s="367"/>
      <c r="H78" s="371">
        <v>0</v>
      </c>
      <c r="I78" s="371">
        <v>0</v>
      </c>
      <c r="J78" s="371">
        <v>0</v>
      </c>
      <c r="K78" s="371">
        <v>0</v>
      </c>
      <c r="L78" s="371">
        <v>0</v>
      </c>
      <c r="M78" s="433"/>
      <c r="N78" s="608"/>
      <c r="O78" s="392"/>
      <c r="P78" s="386"/>
    </row>
    <row r="79" spans="2:17" ht="15.75" customHeight="1">
      <c r="B79" s="348"/>
      <c r="C79" s="363"/>
      <c r="D79" s="544" t="s">
        <v>251</v>
      </c>
      <c r="E79" s="545"/>
      <c r="F79" s="52"/>
      <c r="G79" s="367"/>
      <c r="H79" s="371">
        <v>0</v>
      </c>
      <c r="I79" s="371">
        <v>0</v>
      </c>
      <c r="J79" s="371">
        <v>0</v>
      </c>
      <c r="K79" s="371">
        <v>0</v>
      </c>
      <c r="L79" s="371">
        <v>0</v>
      </c>
      <c r="M79" s="433"/>
      <c r="N79" s="608"/>
      <c r="O79" s="365"/>
      <c r="P79" s="386"/>
    </row>
    <row r="80" spans="2:17" ht="15.75" customHeight="1">
      <c r="B80" s="348"/>
      <c r="C80" s="363"/>
      <c r="D80" s="544" t="s">
        <v>252</v>
      </c>
      <c r="E80" s="545"/>
      <c r="F80" s="52"/>
      <c r="G80" s="367"/>
      <c r="H80" s="371">
        <v>90000</v>
      </c>
      <c r="I80" s="371">
        <v>123600</v>
      </c>
      <c r="J80" s="371">
        <v>127308</v>
      </c>
      <c r="K80" s="371">
        <v>131127.24</v>
      </c>
      <c r="L80" s="371">
        <v>135061.04999999999</v>
      </c>
      <c r="M80" s="433"/>
      <c r="N80" s="608"/>
      <c r="O80" s="365"/>
      <c r="P80" s="375"/>
    </row>
    <row r="81" spans="2:16" ht="15.75" customHeight="1">
      <c r="B81" s="348"/>
      <c r="C81" s="363"/>
      <c r="D81" s="544" t="s">
        <v>253</v>
      </c>
      <c r="E81" s="545"/>
      <c r="F81" s="52"/>
      <c r="G81" s="367"/>
      <c r="H81" s="371">
        <v>0</v>
      </c>
      <c r="I81" s="371">
        <v>0</v>
      </c>
      <c r="J81" s="371">
        <v>0</v>
      </c>
      <c r="K81" s="371">
        <v>0</v>
      </c>
      <c r="L81" s="371">
        <v>0</v>
      </c>
      <c r="M81" s="433"/>
      <c r="N81" s="608"/>
      <c r="O81" s="365"/>
      <c r="P81" s="375"/>
    </row>
    <row r="82" spans="2:16" ht="15.75" customHeight="1">
      <c r="B82" s="348"/>
      <c r="C82" s="363"/>
      <c r="D82" s="544" t="s">
        <v>254</v>
      </c>
      <c r="E82" s="545"/>
      <c r="F82" s="52"/>
      <c r="G82" s="367"/>
      <c r="H82" s="371">
        <v>0</v>
      </c>
      <c r="I82" s="371">
        <v>0</v>
      </c>
      <c r="J82" s="371">
        <v>0</v>
      </c>
      <c r="K82" s="371">
        <v>0</v>
      </c>
      <c r="L82" s="371">
        <v>0</v>
      </c>
      <c r="M82" s="433"/>
      <c r="N82" s="608"/>
      <c r="O82" s="365"/>
      <c r="P82" s="375"/>
    </row>
    <row r="83" spans="2:16" ht="15.75" customHeight="1">
      <c r="B83" s="348"/>
      <c r="C83" s="363"/>
      <c r="D83" s="544" t="s">
        <v>255</v>
      </c>
      <c r="E83" s="545"/>
      <c r="F83" s="52"/>
      <c r="G83" s="367"/>
      <c r="H83" s="371">
        <v>0</v>
      </c>
      <c r="I83" s="371">
        <v>0</v>
      </c>
      <c r="J83" s="371">
        <v>0</v>
      </c>
      <c r="K83" s="371">
        <v>0</v>
      </c>
      <c r="L83" s="371">
        <v>0</v>
      </c>
      <c r="M83" s="433"/>
      <c r="N83" s="608"/>
      <c r="O83" s="365"/>
      <c r="P83" s="375"/>
    </row>
    <row r="84" spans="2:16" ht="15.75" customHeight="1">
      <c r="B84" s="348"/>
      <c r="C84" s="363"/>
      <c r="D84" s="448"/>
      <c r="E84" s="449"/>
      <c r="F84" s="52"/>
      <c r="G84" s="372"/>
      <c r="H84" s="100"/>
      <c r="I84" s="100"/>
      <c r="J84" s="100"/>
      <c r="K84" s="100"/>
      <c r="L84" s="364"/>
      <c r="M84" s="351"/>
      <c r="N84" s="609"/>
      <c r="O84" s="365"/>
      <c r="P84" s="375"/>
    </row>
    <row r="85" spans="2:16" ht="15.75" customHeight="1">
      <c r="B85" s="348"/>
      <c r="C85" s="363"/>
      <c r="D85" s="546" t="s">
        <v>256</v>
      </c>
      <c r="E85" s="547"/>
      <c r="F85" s="103"/>
      <c r="G85" s="376"/>
      <c r="H85" s="391">
        <f>SUM(H75:H83)</f>
        <v>90000</v>
      </c>
      <c r="I85" s="391">
        <f>SUM(I75:I83)</f>
        <v>123600</v>
      </c>
      <c r="J85" s="391">
        <f>SUM(J75:J83)</f>
        <v>192308</v>
      </c>
      <c r="K85" s="391">
        <f>SUM(K75:K83)</f>
        <v>198077.24</v>
      </c>
      <c r="L85" s="391">
        <f>SUM(L75:L83)</f>
        <v>204019.55</v>
      </c>
      <c r="M85" s="428"/>
      <c r="N85" s="610"/>
      <c r="O85" s="365"/>
      <c r="P85" s="375"/>
    </row>
    <row r="86" spans="2:16" ht="15.75" customHeight="1">
      <c r="B86" s="348"/>
      <c r="C86" s="363"/>
      <c r="D86" s="448"/>
      <c r="E86" s="449"/>
      <c r="F86" s="52"/>
      <c r="G86" s="372"/>
      <c r="H86" s="100"/>
      <c r="I86" s="100"/>
      <c r="J86" s="100"/>
      <c r="K86" s="100"/>
      <c r="L86" s="100"/>
      <c r="M86" s="52"/>
      <c r="N86" s="420"/>
      <c r="O86" s="365"/>
      <c r="P86" s="375"/>
    </row>
    <row r="87" spans="2:16" ht="15.75" customHeight="1">
      <c r="B87" s="348"/>
      <c r="C87" s="363"/>
      <c r="D87" s="546" t="s">
        <v>257</v>
      </c>
      <c r="E87" s="547"/>
      <c r="F87" s="103"/>
      <c r="G87" s="376"/>
      <c r="H87" s="377">
        <f>H64+H72+H85</f>
        <v>583900</v>
      </c>
      <c r="I87" s="377">
        <f>I64+I72+I85</f>
        <v>851913</v>
      </c>
      <c r="J87" s="377">
        <f>J64+J72+J85</f>
        <v>959598.39</v>
      </c>
      <c r="K87" s="377">
        <f>K64+K72+K85</f>
        <v>988386.34</v>
      </c>
      <c r="L87" s="377">
        <f>L64+L72+L85</f>
        <v>1075663.98</v>
      </c>
      <c r="M87" s="427"/>
      <c r="N87" s="435" t="s">
        <v>75</v>
      </c>
      <c r="O87" s="365"/>
      <c r="P87" s="369"/>
    </row>
    <row r="88" spans="2:16" ht="15.75" customHeight="1">
      <c r="B88" s="348"/>
      <c r="C88" s="363"/>
      <c r="D88" s="448"/>
      <c r="E88" s="449"/>
      <c r="F88" s="52"/>
      <c r="G88" s="154"/>
      <c r="H88" s="393" t="str">
        <f>IF((ROUND(H87,2)=ROUND('3. Staffing Plan'!L62,2)), "","ERROR")</f>
        <v/>
      </c>
      <c r="I88" s="393" t="str">
        <f>IF((ROUND(I87,2)=ROUND('3. Staffing Plan'!P62,2)), "","ERROR")</f>
        <v/>
      </c>
      <c r="J88" s="393" t="str">
        <f>IF((ROUND(J87,2)=ROUND('3. Staffing Plan'!T62,2)), "","ERROR")</f>
        <v/>
      </c>
      <c r="K88" s="393" t="str">
        <f>IF((ROUND(K87,2)=ROUND('3. Staffing Plan'!X62,2)), "","ERROR")</f>
        <v/>
      </c>
      <c r="L88" s="393" t="str">
        <f>IF((ROUND(L87,2)=ROUND('3. Staffing Plan'!AB62,2)), "","ERROR")</f>
        <v/>
      </c>
      <c r="M88" s="154"/>
      <c r="N88" s="420" t="str">
        <f>IF(COUNTIF(G88:L88,"ERROR"),"Tab 3 and Tab 5 Values do not match.","")</f>
        <v/>
      </c>
      <c r="O88" s="365"/>
      <c r="P88" s="394"/>
    </row>
    <row r="89" spans="2:16" ht="15.75" customHeight="1">
      <c r="B89" s="348"/>
      <c r="C89" s="363"/>
      <c r="D89" s="548" t="s">
        <v>258</v>
      </c>
      <c r="E89" s="549"/>
      <c r="F89" s="350"/>
      <c r="G89" s="388"/>
      <c r="H89" s="384"/>
      <c r="I89" s="384"/>
      <c r="J89" s="384"/>
      <c r="K89" s="384"/>
      <c r="L89" s="385"/>
      <c r="M89" s="351"/>
      <c r="N89" s="434" t="s">
        <v>259</v>
      </c>
      <c r="O89" s="365"/>
      <c r="P89" s="386"/>
    </row>
    <row r="90" spans="2:16" ht="15.75" customHeight="1">
      <c r="B90" s="348"/>
      <c r="C90" s="363"/>
      <c r="D90" s="544" t="s">
        <v>260</v>
      </c>
      <c r="E90" s="545"/>
      <c r="F90" s="52"/>
      <c r="G90" s="367"/>
      <c r="H90" s="368">
        <f>H87*('3. Staffing Plan'!G52+'3. Staffing Plan'!G53+'3. Staffing Plan'!G54)</f>
        <v>59265.850000000006</v>
      </c>
      <c r="I90" s="368">
        <f>I87*('3. Staffing Plan'!K52+'3. Staffing Plan'!K53+'3. Staffing Plan'!K54)</f>
        <v>86469.169500000004</v>
      </c>
      <c r="J90" s="368">
        <f>J87*('3. Staffing Plan'!O52+'3. Staffing Plan'!O53+'3. Staffing Plan'!O54)</f>
        <v>97399.236585000006</v>
      </c>
      <c r="K90" s="368">
        <f>K87*('3. Staffing Plan'!S52+'3. Staffing Plan'!S53+'3. Staffing Plan'!S54)</f>
        <v>100321.21351</v>
      </c>
      <c r="L90" s="368">
        <f>L87*('3. Staffing Plan'!W52+'3. Staffing Plan'!W53+'3. Staffing Plan'!W54)</f>
        <v>109179.89397</v>
      </c>
      <c r="M90" s="426"/>
      <c r="N90" s="611"/>
      <c r="O90" s="365"/>
      <c r="P90" s="386"/>
    </row>
    <row r="91" spans="2:16" ht="15.75" customHeight="1">
      <c r="B91" s="348"/>
      <c r="C91" s="363"/>
      <c r="D91" s="544" t="s">
        <v>261</v>
      </c>
      <c r="E91" s="545"/>
      <c r="F91" s="52"/>
      <c r="G91" s="367"/>
      <c r="H91" s="368">
        <f>'3. Staffing Plan'!L50</f>
        <v>52200</v>
      </c>
      <c r="I91" s="368">
        <f>'3. Staffing Plan'!P50</f>
        <v>73440</v>
      </c>
      <c r="J91" s="368">
        <f>'3. Staffing Plan'!T50</f>
        <v>86135</v>
      </c>
      <c r="K91" s="368">
        <f>'3. Staffing Plan'!X50</f>
        <v>91680</v>
      </c>
      <c r="L91" s="368">
        <f>'3. Staffing Plan'!AB50</f>
        <v>101296</v>
      </c>
      <c r="M91" s="426"/>
      <c r="N91" s="609"/>
      <c r="O91" s="365"/>
      <c r="P91" s="375"/>
    </row>
    <row r="92" spans="2:16" ht="15.75" customHeight="1">
      <c r="B92" s="348"/>
      <c r="C92" s="363"/>
      <c r="D92" s="544" t="s">
        <v>262</v>
      </c>
      <c r="E92" s="545"/>
      <c r="F92" s="52"/>
      <c r="G92" s="367"/>
      <c r="H92" s="368">
        <f>'3. Staffing Plan'!L51</f>
        <v>95700</v>
      </c>
      <c r="I92" s="368">
        <f>'3. Staffing Plan'!P51</f>
        <v>132000</v>
      </c>
      <c r="J92" s="368">
        <f>'3. Staffing Plan'!T51</f>
        <v>151800</v>
      </c>
      <c r="K92" s="368">
        <f>'3. Staffing Plan'!X51</f>
        <v>158400</v>
      </c>
      <c r="L92" s="368">
        <f>'3. Staffing Plan'!AB51</f>
        <v>171600</v>
      </c>
      <c r="M92" s="426"/>
      <c r="N92" s="609"/>
      <c r="O92" s="365"/>
      <c r="P92" s="375"/>
    </row>
    <row r="93" spans="2:16" ht="15.75" customHeight="1">
      <c r="B93" s="348"/>
      <c r="C93" s="363"/>
      <c r="D93" s="544" t="s">
        <v>263</v>
      </c>
      <c r="E93" s="545"/>
      <c r="F93" s="52"/>
      <c r="G93" s="367"/>
      <c r="H93" s="368">
        <f>'3. Staffing Plan'!L56</f>
        <v>0</v>
      </c>
      <c r="I93" s="368">
        <f>'3. Staffing Plan'!P56</f>
        <v>0</v>
      </c>
      <c r="J93" s="368">
        <f>'3. Staffing Plan'!T56</f>
        <v>0</v>
      </c>
      <c r="K93" s="368">
        <f>'3. Staffing Plan'!X56</f>
        <v>0</v>
      </c>
      <c r="L93" s="368">
        <f>'3. Staffing Plan'!AB56</f>
        <v>0</v>
      </c>
      <c r="M93" s="426"/>
      <c r="N93" s="609"/>
      <c r="O93" s="365"/>
      <c r="P93" s="375"/>
    </row>
    <row r="94" spans="2:16" ht="15.75" customHeight="1">
      <c r="B94" s="348"/>
      <c r="C94" s="363"/>
      <c r="D94" s="448"/>
      <c r="E94" s="449"/>
      <c r="F94" s="52"/>
      <c r="G94" s="395"/>
      <c r="H94" s="100"/>
      <c r="I94" s="100"/>
      <c r="J94" s="100"/>
      <c r="K94" s="100"/>
      <c r="L94" s="364"/>
      <c r="M94" s="351"/>
      <c r="N94" s="609"/>
      <c r="O94" s="365"/>
      <c r="P94" s="375"/>
    </row>
    <row r="95" spans="2:16" ht="15.75" customHeight="1">
      <c r="B95" s="348"/>
      <c r="C95" s="363"/>
      <c r="D95" s="546" t="s">
        <v>264</v>
      </c>
      <c r="E95" s="547"/>
      <c r="F95" s="102"/>
      <c r="G95" s="382">
        <f>'4. Budget &amp; Cash Flow (Year 0)'!S33</f>
        <v>102000</v>
      </c>
      <c r="H95" s="391">
        <f>SUM(H90:H93)</f>
        <v>207165.85</v>
      </c>
      <c r="I95" s="391">
        <f>SUM(I90:I93)</f>
        <v>291909.16950000002</v>
      </c>
      <c r="J95" s="391">
        <f>SUM(J90:J93)</f>
        <v>335334.23658500001</v>
      </c>
      <c r="K95" s="391">
        <f>SUM(K90:K93)</f>
        <v>350401.21351000003</v>
      </c>
      <c r="L95" s="391">
        <f>SUM(L90:L93)</f>
        <v>382075.89396999998</v>
      </c>
      <c r="M95" s="428"/>
      <c r="N95" s="610"/>
      <c r="O95" s="365"/>
      <c r="P95" s="375"/>
    </row>
    <row r="96" spans="2:16" ht="15.75" customHeight="1">
      <c r="B96" s="348"/>
      <c r="C96" s="363"/>
      <c r="D96" s="448"/>
      <c r="E96" s="449"/>
      <c r="F96" s="52"/>
      <c r="G96" s="381"/>
      <c r="H96" s="100"/>
      <c r="I96" s="100"/>
      <c r="J96" s="100"/>
      <c r="K96" s="100"/>
      <c r="L96" s="364"/>
      <c r="M96" s="351"/>
      <c r="N96" s="500"/>
      <c r="O96" s="365"/>
      <c r="P96" s="375"/>
    </row>
    <row r="97" spans="2:17" ht="15.75" customHeight="1">
      <c r="B97" s="348"/>
      <c r="C97" s="363"/>
      <c r="D97" s="546" t="s">
        <v>139</v>
      </c>
      <c r="E97" s="547"/>
      <c r="F97" s="102"/>
      <c r="G97" s="382">
        <f>'4. Budget &amp; Cash Flow (Year 0)'!S35</f>
        <v>102000</v>
      </c>
      <c r="H97" s="391">
        <f>H87+H95</f>
        <v>791065.85</v>
      </c>
      <c r="I97" s="391">
        <f>I87+I95</f>
        <v>1143822.1695000001</v>
      </c>
      <c r="J97" s="391">
        <f>J87+J95</f>
        <v>1294932.626585</v>
      </c>
      <c r="K97" s="391">
        <f>K87+K95</f>
        <v>1338787.55351</v>
      </c>
      <c r="L97" s="391">
        <f>L87+L95</f>
        <v>1457739.8739700001</v>
      </c>
      <c r="M97" s="428"/>
      <c r="N97" s="501"/>
      <c r="O97" s="365"/>
      <c r="P97" s="375"/>
    </row>
    <row r="98" spans="2:17" ht="15.75" customHeight="1">
      <c r="B98" s="348"/>
      <c r="C98" s="363"/>
      <c r="D98" s="448"/>
      <c r="E98" s="449"/>
      <c r="F98" s="52"/>
      <c r="G98" s="393" t="str">
        <f>IF((ROUND(G97,2)=ROUND('3. Staffing Plan'!H64,2)), "","ERROR")</f>
        <v>ERROR</v>
      </c>
      <c r="H98" s="393" t="str">
        <f>IF((ROUND(H97,2)=ROUND('3. Staffing Plan'!L64,2)), "","ERROR")</f>
        <v/>
      </c>
      <c r="I98" s="393" t="str">
        <f>IF((ROUND(I97,2)=ROUND('3. Staffing Plan'!P64,2)), "","ERROR")</f>
        <v/>
      </c>
      <c r="J98" s="393" t="str">
        <f>IF((ROUND(J97,2)=ROUND('3. Staffing Plan'!T64,2)), "","ERROR")</f>
        <v/>
      </c>
      <c r="K98" s="393" t="str">
        <f>IF((ROUND(K97,2)=ROUND('3. Staffing Plan'!X64,2)), "","ERROR")</f>
        <v>ERROR</v>
      </c>
      <c r="L98" s="393" t="str">
        <f>IF((ROUND(L97,2)=ROUND('3. Staffing Plan'!AB64,2)), "","ERROR")</f>
        <v>ERROR</v>
      </c>
      <c r="M98" s="154"/>
      <c r="N98" s="421" t="str">
        <f>IF(COUNTIF(G98:L98,"ERROR"),"Tab 3 and Tab 5 Values do not match.","")</f>
        <v>Tab 3 and Tab 5 Values do not match.</v>
      </c>
      <c r="O98" s="365"/>
      <c r="P98" s="369"/>
    </row>
    <row r="99" spans="2:17" ht="15.75" customHeight="1">
      <c r="B99" s="348"/>
      <c r="C99" s="363"/>
      <c r="D99" s="548" t="s">
        <v>140</v>
      </c>
      <c r="E99" s="549"/>
      <c r="F99" s="350"/>
      <c r="G99" s="444"/>
      <c r="H99" s="596"/>
      <c r="I99" s="597"/>
      <c r="J99" s="597"/>
      <c r="K99" s="597"/>
      <c r="L99" s="597"/>
      <c r="M99" s="355"/>
      <c r="N99" s="16" t="s">
        <v>265</v>
      </c>
      <c r="O99" s="374"/>
      <c r="P99" s="386"/>
    </row>
    <row r="100" spans="2:17" ht="15.75" customHeight="1">
      <c r="B100" s="348"/>
      <c r="C100" s="363"/>
      <c r="D100" s="544" t="s">
        <v>141</v>
      </c>
      <c r="E100" s="545"/>
      <c r="F100" s="441"/>
      <c r="G100" s="380">
        <f>'4. Budget &amp; Cash Flow (Year 0)'!S38</f>
        <v>0</v>
      </c>
      <c r="H100" s="371">
        <f>196*500</f>
        <v>98000</v>
      </c>
      <c r="I100" s="371">
        <f>500*294</f>
        <v>147000</v>
      </c>
      <c r="J100" s="371">
        <f>397*800</f>
        <v>317600</v>
      </c>
      <c r="K100" s="371">
        <f>800*397</f>
        <v>317600</v>
      </c>
      <c r="L100" s="371">
        <f>800*397</f>
        <v>317600</v>
      </c>
      <c r="M100" s="433"/>
      <c r="N100" s="611" t="s">
        <v>266</v>
      </c>
      <c r="O100" s="365"/>
      <c r="P100" s="386"/>
    </row>
    <row r="101" spans="2:17" ht="15.75" customHeight="1">
      <c r="B101" s="348"/>
      <c r="C101" s="363"/>
      <c r="D101" s="544" t="s">
        <v>142</v>
      </c>
      <c r="E101" s="545"/>
      <c r="F101" s="441"/>
      <c r="G101" s="380">
        <f>'4. Budget &amp; Cash Flow (Year 0)'!S39</f>
        <v>0</v>
      </c>
      <c r="H101" s="371">
        <v>0</v>
      </c>
      <c r="I101" s="371">
        <v>0</v>
      </c>
      <c r="J101" s="371">
        <v>0</v>
      </c>
      <c r="K101" s="371">
        <v>0</v>
      </c>
      <c r="L101" s="371">
        <v>0</v>
      </c>
      <c r="M101" s="433"/>
      <c r="N101" s="615"/>
      <c r="O101" s="365"/>
      <c r="P101" s="386"/>
    </row>
    <row r="102" spans="2:17" ht="15.75" customHeight="1">
      <c r="B102" s="348"/>
      <c r="C102" s="363"/>
      <c r="D102" s="544" t="s">
        <v>143</v>
      </c>
      <c r="E102" s="545"/>
      <c r="F102" s="441"/>
      <c r="G102" s="380">
        <f>'4. Budget &amp; Cash Flow (Year 0)'!S40</f>
        <v>0</v>
      </c>
      <c r="H102" s="371">
        <f>500*200</f>
        <v>100000</v>
      </c>
      <c r="I102" s="371">
        <f>500*100</f>
        <v>50000</v>
      </c>
      <c r="J102" s="371">
        <f>150*1000</f>
        <v>150000</v>
      </c>
      <c r="K102" s="371">
        <f>420*1000</f>
        <v>420000</v>
      </c>
      <c r="L102" s="371">
        <f>1000*50</f>
        <v>50000</v>
      </c>
      <c r="M102" s="433"/>
      <c r="N102" s="615"/>
      <c r="O102" s="365"/>
      <c r="P102" s="386"/>
    </row>
    <row r="103" spans="2:17" ht="15.75" customHeight="1">
      <c r="B103" s="348"/>
      <c r="C103" s="363"/>
      <c r="D103" s="544" t="s">
        <v>144</v>
      </c>
      <c r="E103" s="545"/>
      <c r="F103" s="441"/>
      <c r="G103" s="380">
        <f>'4. Budget &amp; Cash Flow (Year 0)'!S41</f>
        <v>0</v>
      </c>
      <c r="H103" s="371">
        <v>2500</v>
      </c>
      <c r="I103" s="371">
        <v>2500</v>
      </c>
      <c r="J103" s="371">
        <v>2500</v>
      </c>
      <c r="K103" s="371">
        <v>3000</v>
      </c>
      <c r="L103" s="371">
        <v>3000</v>
      </c>
      <c r="M103" s="433"/>
      <c r="N103" s="615"/>
      <c r="O103" s="365"/>
      <c r="P103" s="386"/>
    </row>
    <row r="104" spans="2:17" ht="15.75" customHeight="1">
      <c r="B104" s="348"/>
      <c r="C104" s="363"/>
      <c r="D104" s="544" t="s">
        <v>145</v>
      </c>
      <c r="E104" s="545"/>
      <c r="F104" s="441"/>
      <c r="G104" s="380">
        <f>'4. Budget &amp; Cash Flow (Year 0)'!S42</f>
        <v>0</v>
      </c>
      <c r="H104" s="371">
        <f>200*150</f>
        <v>30000</v>
      </c>
      <c r="I104" s="371">
        <f>200*200</f>
        <v>40000</v>
      </c>
      <c r="J104" s="371">
        <f>200*250</f>
        <v>50000</v>
      </c>
      <c r="K104" s="371">
        <f>200*250</f>
        <v>50000</v>
      </c>
      <c r="L104" s="371">
        <f>200*250</f>
        <v>50000</v>
      </c>
      <c r="M104" s="433"/>
      <c r="N104" s="615"/>
      <c r="O104" s="365"/>
      <c r="P104" s="375"/>
    </row>
    <row r="105" spans="2:17" ht="15.75" customHeight="1">
      <c r="B105" s="348"/>
      <c r="C105" s="363"/>
      <c r="D105" s="544" t="s">
        <v>146</v>
      </c>
      <c r="E105" s="545"/>
      <c r="F105" s="441"/>
      <c r="G105" s="380">
        <f>'4. Budget &amp; Cash Flow (Year 0)'!S43</f>
        <v>0</v>
      </c>
      <c r="H105" s="371">
        <v>3000</v>
      </c>
      <c r="I105" s="371">
        <f>H105*1.05</f>
        <v>3150</v>
      </c>
      <c r="J105" s="371">
        <f>I105*1.05</f>
        <v>3307.5</v>
      </c>
      <c r="K105" s="371">
        <f>J105*1.05</f>
        <v>3472.875</v>
      </c>
      <c r="L105" s="371">
        <f>K105*1.05</f>
        <v>3646.5187500000002</v>
      </c>
      <c r="M105" s="433"/>
      <c r="N105" s="615"/>
      <c r="O105" s="365"/>
      <c r="P105" s="386"/>
    </row>
    <row r="106" spans="2:17" ht="15.75" customHeight="1">
      <c r="B106" s="348"/>
      <c r="C106" s="363"/>
      <c r="D106" s="544" t="s">
        <v>147</v>
      </c>
      <c r="E106" s="545"/>
      <c r="F106" s="441"/>
      <c r="G106" s="380">
        <f>'4. Budget &amp; Cash Flow (Year 0)'!S44</f>
        <v>0</v>
      </c>
      <c r="H106" s="371">
        <v>112500</v>
      </c>
      <c r="I106" s="371">
        <v>220000</v>
      </c>
      <c r="J106" s="371">
        <v>400000</v>
      </c>
      <c r="K106" s="371">
        <v>420000</v>
      </c>
      <c r="L106" s="371">
        <v>440000</v>
      </c>
      <c r="M106" s="433"/>
      <c r="N106" s="615"/>
      <c r="O106" s="365"/>
      <c r="P106" s="386"/>
    </row>
    <row r="107" spans="2:17" ht="15.75" customHeight="1">
      <c r="B107" s="348"/>
      <c r="C107" s="363"/>
      <c r="D107" s="544" t="s">
        <v>148</v>
      </c>
      <c r="E107" s="545"/>
      <c r="F107" s="441"/>
      <c r="G107" s="380">
        <f>'4. Budget &amp; Cash Flow (Year 0)'!S45</f>
        <v>0</v>
      </c>
      <c r="H107" s="371">
        <f>1000*4</f>
        <v>4000</v>
      </c>
      <c r="I107" s="371">
        <f>H107*1.05</f>
        <v>4200</v>
      </c>
      <c r="J107" s="371">
        <f>I107*1.05</f>
        <v>4410</v>
      </c>
      <c r="K107" s="371">
        <f>J107*1.05</f>
        <v>4630.5</v>
      </c>
      <c r="L107" s="371">
        <f>K107*1.05</f>
        <v>4862.0250000000005</v>
      </c>
      <c r="M107" s="433"/>
      <c r="N107" s="615"/>
      <c r="O107" s="365"/>
      <c r="P107" s="386"/>
    </row>
    <row r="108" spans="2:17" ht="15.75" customHeight="1">
      <c r="B108" s="348"/>
      <c r="C108" s="363"/>
      <c r="D108" s="448"/>
      <c r="E108" s="449"/>
      <c r="F108" s="52"/>
      <c r="G108" s="381"/>
      <c r="H108" s="100"/>
      <c r="I108" s="100"/>
      <c r="J108" s="100"/>
      <c r="K108" s="100"/>
      <c r="L108" s="364"/>
      <c r="M108" s="351"/>
      <c r="N108" s="615"/>
      <c r="O108" s="365"/>
      <c r="P108" s="375"/>
    </row>
    <row r="109" spans="2:17" ht="15.75" customHeight="1">
      <c r="B109" s="348"/>
      <c r="C109" s="363"/>
      <c r="D109" s="546" t="s">
        <v>149</v>
      </c>
      <c r="E109" s="547"/>
      <c r="F109" s="102"/>
      <c r="G109" s="382">
        <f t="shared" ref="G109:L109" si="0">SUM(G100:G107)</f>
        <v>0</v>
      </c>
      <c r="H109" s="391">
        <f t="shared" si="0"/>
        <v>350000</v>
      </c>
      <c r="I109" s="391">
        <f t="shared" si="0"/>
        <v>466850</v>
      </c>
      <c r="J109" s="391">
        <f t="shared" si="0"/>
        <v>927817.5</v>
      </c>
      <c r="K109" s="391">
        <f t="shared" si="0"/>
        <v>1218703.375</v>
      </c>
      <c r="L109" s="391">
        <f t="shared" si="0"/>
        <v>869108.54375000007</v>
      </c>
      <c r="M109" s="428"/>
      <c r="N109" s="616"/>
      <c r="O109" s="365"/>
      <c r="P109" s="375"/>
    </row>
    <row r="110" spans="2:17" ht="15.75" customHeight="1">
      <c r="B110" s="348"/>
      <c r="C110" s="363"/>
      <c r="D110" s="448"/>
      <c r="E110" s="449"/>
      <c r="F110" s="52"/>
      <c r="G110" s="383"/>
      <c r="H110" s="101"/>
      <c r="I110" s="101"/>
      <c r="J110" s="101"/>
      <c r="K110" s="101"/>
      <c r="L110" s="379"/>
      <c r="M110" s="351"/>
      <c r="N110" s="418"/>
      <c r="O110" s="365"/>
      <c r="P110" s="375"/>
      <c r="Q110" s="396"/>
    </row>
    <row r="111" spans="2:17" ht="15.75" customHeight="1">
      <c r="B111" s="348"/>
      <c r="C111" s="363"/>
      <c r="D111" s="548" t="s">
        <v>150</v>
      </c>
      <c r="E111" s="549"/>
      <c r="F111" s="350"/>
      <c r="G111" s="444"/>
      <c r="H111" s="408"/>
      <c r="I111" s="104"/>
      <c r="J111" s="104"/>
      <c r="K111" s="104"/>
      <c r="L111" s="104"/>
      <c r="M111" s="52"/>
      <c r="N111" s="438" t="s">
        <v>267</v>
      </c>
      <c r="O111" s="374"/>
      <c r="P111" s="375"/>
      <c r="Q111" s="396"/>
    </row>
    <row r="112" spans="2:17" ht="15.75" customHeight="1">
      <c r="B112" s="348"/>
      <c r="C112" s="363"/>
      <c r="D112" s="544" t="s">
        <v>151</v>
      </c>
      <c r="E112" s="545"/>
      <c r="F112" s="441"/>
      <c r="G112" s="380">
        <f>'4. Budget &amp; Cash Flow (Year 0)'!S50</f>
        <v>4000</v>
      </c>
      <c r="H112" s="371">
        <f>1000*4</f>
        <v>4000</v>
      </c>
      <c r="I112" s="371">
        <v>4000</v>
      </c>
      <c r="J112" s="371">
        <v>8000</v>
      </c>
      <c r="K112" s="371">
        <v>8000</v>
      </c>
      <c r="L112" s="371">
        <v>8000</v>
      </c>
      <c r="M112" s="433"/>
      <c r="N112" s="611" t="s">
        <v>268</v>
      </c>
      <c r="O112" s="365"/>
      <c r="P112" s="375"/>
    </row>
    <row r="113" spans="2:16" ht="15.75" customHeight="1">
      <c r="B113" s="348"/>
      <c r="C113" s="363"/>
      <c r="D113" s="544" t="s">
        <v>269</v>
      </c>
      <c r="E113" s="545"/>
      <c r="F113" s="441"/>
      <c r="G113" s="380">
        <f>'4. Budget &amp; Cash Flow (Year 0)'!S51</f>
        <v>2000</v>
      </c>
      <c r="H113" s="371">
        <v>5000</v>
      </c>
      <c r="I113" s="371">
        <f>H113*1.05</f>
        <v>5250</v>
      </c>
      <c r="J113" s="371">
        <f>I113*1.05</f>
        <v>5512.5</v>
      </c>
      <c r="K113" s="371">
        <f>J113*1.05</f>
        <v>5788.125</v>
      </c>
      <c r="L113" s="371">
        <f>K113*1.05</f>
        <v>6077.53125</v>
      </c>
      <c r="M113" s="433"/>
      <c r="N113" s="608"/>
      <c r="O113" s="397"/>
      <c r="P113" s="375"/>
    </row>
    <row r="114" spans="2:16" ht="15.75" customHeight="1">
      <c r="B114" s="348"/>
      <c r="C114" s="363"/>
      <c r="D114" s="448"/>
      <c r="E114" s="449"/>
      <c r="F114" s="52"/>
      <c r="G114" s="381"/>
      <c r="H114" s="100"/>
      <c r="I114" s="100"/>
      <c r="J114" s="100"/>
      <c r="K114" s="100"/>
      <c r="L114" s="364"/>
      <c r="M114" s="351"/>
      <c r="N114" s="608"/>
      <c r="O114" s="365"/>
      <c r="P114" s="375"/>
    </row>
    <row r="115" spans="2:16" ht="15.75" customHeight="1">
      <c r="B115" s="348"/>
      <c r="C115" s="363"/>
      <c r="D115" s="546" t="s">
        <v>153</v>
      </c>
      <c r="E115" s="547"/>
      <c r="F115" s="102"/>
      <c r="G115" s="382">
        <f t="shared" ref="G115:L115" si="1">SUM(G112:G113)</f>
        <v>6000</v>
      </c>
      <c r="H115" s="391">
        <f t="shared" si="1"/>
        <v>9000</v>
      </c>
      <c r="I115" s="391">
        <f t="shared" si="1"/>
        <v>9250</v>
      </c>
      <c r="J115" s="391">
        <f t="shared" si="1"/>
        <v>13512.5</v>
      </c>
      <c r="K115" s="391">
        <f t="shared" si="1"/>
        <v>13788.125</v>
      </c>
      <c r="L115" s="391">
        <f t="shared" si="1"/>
        <v>14077.53125</v>
      </c>
      <c r="M115" s="428"/>
      <c r="N115" s="617"/>
      <c r="O115" s="365"/>
      <c r="P115" s="375"/>
    </row>
    <row r="116" spans="2:16" ht="15.75" customHeight="1">
      <c r="B116" s="348"/>
      <c r="C116" s="363"/>
      <c r="D116" s="448"/>
      <c r="E116" s="449"/>
      <c r="F116" s="52"/>
      <c r="G116" s="383"/>
      <c r="H116" s="101"/>
      <c r="I116" s="101"/>
      <c r="J116" s="101"/>
      <c r="K116" s="101"/>
      <c r="L116" s="379"/>
      <c r="M116" s="351"/>
      <c r="N116" s="418"/>
      <c r="O116" s="365"/>
      <c r="P116" s="375"/>
    </row>
    <row r="117" spans="2:16" ht="15.75" customHeight="1">
      <c r="B117" s="348"/>
      <c r="C117" s="363"/>
      <c r="D117" s="548" t="s">
        <v>154</v>
      </c>
      <c r="E117" s="549"/>
      <c r="F117" s="350"/>
      <c r="G117" s="444"/>
      <c r="H117" s="384"/>
      <c r="I117" s="384"/>
      <c r="J117" s="384"/>
      <c r="K117" s="384"/>
      <c r="L117" s="385"/>
      <c r="M117" s="351"/>
      <c r="N117" s="437" t="s">
        <v>270</v>
      </c>
      <c r="O117" s="365"/>
      <c r="P117" s="375"/>
    </row>
    <row r="118" spans="2:16" ht="15.75" customHeight="1">
      <c r="B118" s="348"/>
      <c r="C118" s="363"/>
      <c r="D118" s="544" t="s">
        <v>155</v>
      </c>
      <c r="E118" s="545"/>
      <c r="F118" s="441"/>
      <c r="G118" s="380">
        <f>'4. Budget &amp; Cash Flow (Year 0)'!S56</f>
        <v>2000</v>
      </c>
      <c r="H118" s="371">
        <v>1000</v>
      </c>
      <c r="I118" s="371">
        <v>1000</v>
      </c>
      <c r="J118" s="371">
        <v>1000</v>
      </c>
      <c r="K118" s="371">
        <v>1000</v>
      </c>
      <c r="L118" s="371">
        <v>1000</v>
      </c>
      <c r="M118" s="433"/>
      <c r="N118" s="611" t="s">
        <v>271</v>
      </c>
      <c r="O118" s="365"/>
      <c r="P118" s="375"/>
    </row>
    <row r="119" spans="2:16" ht="15.75" customHeight="1">
      <c r="B119" s="348"/>
      <c r="C119" s="363"/>
      <c r="D119" s="544" t="s">
        <v>272</v>
      </c>
      <c r="E119" s="545"/>
      <c r="F119" s="441"/>
      <c r="G119" s="380">
        <f>'4. Budget &amp; Cash Flow (Year 0)'!S57</f>
        <v>6000</v>
      </c>
      <c r="H119" s="371">
        <v>6000</v>
      </c>
      <c r="I119" s="371">
        <f>H119</f>
        <v>6000</v>
      </c>
      <c r="J119" s="371">
        <f>I119</f>
        <v>6000</v>
      </c>
      <c r="K119" s="371">
        <f>J119</f>
        <v>6000</v>
      </c>
      <c r="L119" s="371">
        <f>K119</f>
        <v>6000</v>
      </c>
      <c r="M119" s="433"/>
      <c r="N119" s="608"/>
      <c r="O119" s="365"/>
      <c r="P119" s="386"/>
    </row>
    <row r="120" spans="2:16" ht="15.75" customHeight="1">
      <c r="B120" s="348"/>
      <c r="C120" s="363"/>
      <c r="D120" s="448"/>
      <c r="E120" s="449"/>
      <c r="F120" s="52"/>
      <c r="G120" s="381"/>
      <c r="H120" s="100"/>
      <c r="I120" s="100"/>
      <c r="J120" s="100"/>
      <c r="K120" s="100"/>
      <c r="L120" s="364"/>
      <c r="M120" s="351"/>
      <c r="N120" s="608"/>
      <c r="O120" s="365"/>
      <c r="P120" s="386"/>
    </row>
    <row r="121" spans="2:16" ht="15.75" customHeight="1">
      <c r="B121" s="348"/>
      <c r="C121" s="363"/>
      <c r="D121" s="546" t="s">
        <v>157</v>
      </c>
      <c r="E121" s="547"/>
      <c r="F121" s="102"/>
      <c r="G121" s="382">
        <f t="shared" ref="G121:L121" si="2">SUM(G118:G119)</f>
        <v>8000</v>
      </c>
      <c r="H121" s="391">
        <f t="shared" si="2"/>
        <v>7000</v>
      </c>
      <c r="I121" s="391">
        <f t="shared" si="2"/>
        <v>7000</v>
      </c>
      <c r="J121" s="391">
        <f t="shared" si="2"/>
        <v>7000</v>
      </c>
      <c r="K121" s="391">
        <f t="shared" si="2"/>
        <v>7000</v>
      </c>
      <c r="L121" s="391">
        <f t="shared" si="2"/>
        <v>7000</v>
      </c>
      <c r="M121" s="428"/>
      <c r="N121" s="617"/>
      <c r="O121" s="365"/>
      <c r="P121" s="375"/>
    </row>
    <row r="122" spans="2:16" ht="15.75" customHeight="1">
      <c r="B122" s="348"/>
      <c r="C122" s="363"/>
      <c r="D122" s="448"/>
      <c r="E122" s="449"/>
      <c r="F122" s="52"/>
      <c r="G122" s="383"/>
      <c r="H122" s="101"/>
      <c r="I122" s="101"/>
      <c r="J122" s="101"/>
      <c r="K122" s="101"/>
      <c r="L122" s="379"/>
      <c r="M122" s="351"/>
      <c r="N122" s="418"/>
      <c r="O122" s="365"/>
      <c r="P122" s="375"/>
    </row>
    <row r="123" spans="2:16" ht="15.75" customHeight="1">
      <c r="B123" s="348"/>
      <c r="C123" s="363"/>
      <c r="D123" s="548" t="s">
        <v>158</v>
      </c>
      <c r="E123" s="549"/>
      <c r="F123" s="350"/>
      <c r="G123" s="444"/>
      <c r="H123" s="384"/>
      <c r="I123" s="104"/>
      <c r="J123" s="104"/>
      <c r="K123" s="104"/>
      <c r="L123" s="104"/>
      <c r="M123" s="52"/>
      <c r="N123" s="439" t="s">
        <v>273</v>
      </c>
      <c r="O123" s="398"/>
      <c r="P123" s="375"/>
    </row>
    <row r="124" spans="2:16" ht="15.75" customHeight="1">
      <c r="B124" s="348"/>
      <c r="C124" s="363"/>
      <c r="D124" s="544" t="s">
        <v>159</v>
      </c>
      <c r="E124" s="545"/>
      <c r="F124" s="441"/>
      <c r="G124" s="380">
        <f>'4. Budget &amp; Cash Flow (Year 0)'!S62</f>
        <v>0</v>
      </c>
      <c r="H124" s="371">
        <v>20000</v>
      </c>
      <c r="I124" s="371">
        <v>20000</v>
      </c>
      <c r="J124" s="371">
        <v>20000</v>
      </c>
      <c r="K124" s="371">
        <v>20000</v>
      </c>
      <c r="L124" s="371">
        <v>20000</v>
      </c>
      <c r="M124" s="433"/>
      <c r="N124" s="611"/>
      <c r="O124" s="365"/>
      <c r="P124" s="375"/>
    </row>
    <row r="125" spans="2:16" ht="15.75" customHeight="1">
      <c r="B125" s="348"/>
      <c r="C125" s="363"/>
      <c r="D125" s="544" t="s">
        <v>160</v>
      </c>
      <c r="E125" s="545"/>
      <c r="F125" s="441"/>
      <c r="G125" s="380">
        <f>'4. Budget &amp; Cash Flow (Year 0)'!S63</f>
        <v>1800</v>
      </c>
      <c r="H125" s="371">
        <v>5000</v>
      </c>
      <c r="I125" s="371">
        <v>5000</v>
      </c>
      <c r="J125" s="371">
        <v>5000</v>
      </c>
      <c r="K125" s="371">
        <v>5000</v>
      </c>
      <c r="L125" s="371">
        <v>5000</v>
      </c>
      <c r="M125" s="433"/>
      <c r="N125" s="608"/>
      <c r="O125" s="365"/>
      <c r="P125" s="375"/>
    </row>
    <row r="126" spans="2:16" ht="15.75" customHeight="1">
      <c r="B126" s="348"/>
      <c r="C126" s="363"/>
      <c r="D126" s="544" t="s">
        <v>161</v>
      </c>
      <c r="E126" s="545"/>
      <c r="F126" s="441"/>
      <c r="G126" s="380">
        <f>'4. Budget &amp; Cash Flow (Year 0)'!S64</f>
        <v>0</v>
      </c>
      <c r="H126" s="371">
        <v>0</v>
      </c>
      <c r="I126" s="371">
        <v>0</v>
      </c>
      <c r="J126" s="371">
        <v>0</v>
      </c>
      <c r="K126" s="371">
        <v>0</v>
      </c>
      <c r="L126" s="371">
        <v>0</v>
      </c>
      <c r="M126" s="433"/>
      <c r="N126" s="608"/>
      <c r="O126" s="365"/>
      <c r="P126" s="375"/>
    </row>
    <row r="127" spans="2:16" ht="15.75" customHeight="1">
      <c r="B127" s="348"/>
      <c r="C127" s="363"/>
      <c r="D127" s="544" t="s">
        <v>162</v>
      </c>
      <c r="E127" s="545"/>
      <c r="F127" s="441"/>
      <c r="G127" s="380">
        <f>'4. Budget &amp; Cash Flow (Year 0)'!S65</f>
        <v>0</v>
      </c>
      <c r="H127" s="371">
        <v>0</v>
      </c>
      <c r="I127" s="371">
        <v>0</v>
      </c>
      <c r="J127" s="371">
        <v>0</v>
      </c>
      <c r="K127" s="371">
        <v>0</v>
      </c>
      <c r="L127" s="371">
        <v>0</v>
      </c>
      <c r="M127" s="433"/>
      <c r="N127" s="608"/>
      <c r="O127" s="365"/>
      <c r="P127" s="375"/>
    </row>
    <row r="128" spans="2:16" ht="15.75" customHeight="1">
      <c r="B128" s="348"/>
      <c r="C128" s="363"/>
      <c r="D128" s="544" t="s">
        <v>163</v>
      </c>
      <c r="E128" s="545"/>
      <c r="F128" s="441"/>
      <c r="G128" s="380">
        <f>'4. Budget &amp; Cash Flow (Year 0)'!S66</f>
        <v>3000</v>
      </c>
      <c r="H128" s="371">
        <v>3000</v>
      </c>
      <c r="I128" s="371">
        <f>H128</f>
        <v>3000</v>
      </c>
      <c r="J128" s="371">
        <f>I128</f>
        <v>3000</v>
      </c>
      <c r="K128" s="371">
        <f>J128</f>
        <v>3000</v>
      </c>
      <c r="L128" s="371">
        <f>K128</f>
        <v>3000</v>
      </c>
      <c r="M128" s="433"/>
      <c r="N128" s="608"/>
      <c r="O128" s="365"/>
      <c r="P128" s="375"/>
    </row>
    <row r="129" spans="2:16" ht="15.75" customHeight="1">
      <c r="B129" s="348"/>
      <c r="C129" s="363"/>
      <c r="D129" s="544" t="s">
        <v>164</v>
      </c>
      <c r="E129" s="545"/>
      <c r="F129" s="441"/>
      <c r="G129" s="380">
        <f>'4. Budget &amp; Cash Flow (Year 0)'!S67</f>
        <v>0</v>
      </c>
      <c r="H129" s="371">
        <v>30000</v>
      </c>
      <c r="I129" s="371">
        <f>H129*1.05</f>
        <v>31500</v>
      </c>
      <c r="J129" s="371">
        <f>I129*1.05</f>
        <v>33075</v>
      </c>
      <c r="K129" s="371">
        <f>J129*1.05</f>
        <v>34728.75</v>
      </c>
      <c r="L129" s="371">
        <f>K129*1.05</f>
        <v>36465.1875</v>
      </c>
      <c r="M129" s="433"/>
      <c r="N129" s="608"/>
      <c r="O129" s="365"/>
      <c r="P129" s="375"/>
    </row>
    <row r="130" spans="2:16" ht="15.75" customHeight="1">
      <c r="B130" s="348"/>
      <c r="C130" s="363"/>
      <c r="D130" s="544" t="s">
        <v>165</v>
      </c>
      <c r="E130" s="545"/>
      <c r="F130" s="441"/>
      <c r="G130" s="380">
        <f>'4. Budget &amp; Cash Flow (Year 0)'!S68</f>
        <v>3000</v>
      </c>
      <c r="H130" s="371">
        <v>3000</v>
      </c>
      <c r="I130" s="371">
        <f>H130</f>
        <v>3000</v>
      </c>
      <c r="J130" s="371">
        <f>I130</f>
        <v>3000</v>
      </c>
      <c r="K130" s="371">
        <f>J130</f>
        <v>3000</v>
      </c>
      <c r="L130" s="371">
        <f>K130</f>
        <v>3000</v>
      </c>
      <c r="M130" s="433"/>
      <c r="N130" s="608"/>
      <c r="O130" s="365"/>
      <c r="P130" s="375"/>
    </row>
    <row r="131" spans="2:16" ht="15.75" customHeight="1">
      <c r="B131" s="348"/>
      <c r="C131" s="363"/>
      <c r="D131" s="544" t="s">
        <v>166</v>
      </c>
      <c r="E131" s="545"/>
      <c r="F131" s="441"/>
      <c r="G131" s="380">
        <f>'4. Budget &amp; Cash Flow (Year 0)'!S69</f>
        <v>0</v>
      </c>
      <c r="H131" s="371">
        <v>0</v>
      </c>
      <c r="I131" s="371">
        <v>0</v>
      </c>
      <c r="J131" s="371">
        <v>0</v>
      </c>
      <c r="K131" s="371">
        <v>0</v>
      </c>
      <c r="L131" s="371">
        <v>0</v>
      </c>
      <c r="M131" s="433"/>
      <c r="N131" s="608"/>
      <c r="O131" s="365"/>
      <c r="P131" s="375"/>
    </row>
    <row r="132" spans="2:16" ht="15.75" customHeight="1">
      <c r="B132" s="348"/>
      <c r="C132" s="363"/>
      <c r="D132" s="544" t="s">
        <v>167</v>
      </c>
      <c r="E132" s="545"/>
      <c r="F132" s="441"/>
      <c r="G132" s="380">
        <f>'4. Budget &amp; Cash Flow (Year 0)'!S70</f>
        <v>0</v>
      </c>
      <c r="H132" s="371">
        <v>60000</v>
      </c>
      <c r="I132" s="371">
        <v>80000</v>
      </c>
      <c r="J132" s="371">
        <v>120000</v>
      </c>
      <c r="K132" s="371">
        <v>150000</v>
      </c>
      <c r="L132" s="371">
        <v>170000</v>
      </c>
      <c r="M132" s="433"/>
      <c r="N132" s="608"/>
      <c r="O132" s="365"/>
      <c r="P132" s="375"/>
    </row>
    <row r="133" spans="2:16" ht="15.75" customHeight="1">
      <c r="B133" s="348"/>
      <c r="C133" s="363"/>
      <c r="D133" s="544" t="s">
        <v>168</v>
      </c>
      <c r="E133" s="545"/>
      <c r="F133" s="441"/>
      <c r="G133" s="380">
        <f>'4. Budget &amp; Cash Flow (Year 0)'!S71</f>
        <v>0</v>
      </c>
      <c r="H133" s="371">
        <v>20000</v>
      </c>
      <c r="I133" s="371">
        <v>20000</v>
      </c>
      <c r="J133" s="371">
        <v>25000</v>
      </c>
      <c r="K133" s="371">
        <v>25000</v>
      </c>
      <c r="L133" s="371">
        <v>25000</v>
      </c>
      <c r="M133" s="433"/>
      <c r="N133" s="608"/>
      <c r="O133" s="365"/>
      <c r="P133" s="375"/>
    </row>
    <row r="134" spans="2:16" ht="15.75" customHeight="1">
      <c r="B134" s="348"/>
      <c r="C134" s="363"/>
      <c r="D134" s="544" t="s">
        <v>169</v>
      </c>
      <c r="E134" s="545"/>
      <c r="F134" s="441"/>
      <c r="G134" s="380">
        <f>'4. Budget &amp; Cash Flow (Year 0)'!S72</f>
        <v>0</v>
      </c>
      <c r="H134" s="371">
        <f>H38</f>
        <v>72000</v>
      </c>
      <c r="I134" s="371">
        <f>I38</f>
        <v>100800</v>
      </c>
      <c r="J134" s="371">
        <f>J38</f>
        <v>144000</v>
      </c>
      <c r="K134" s="371">
        <f>K38</f>
        <v>187200</v>
      </c>
      <c r="L134" s="371">
        <f>L38</f>
        <v>216000</v>
      </c>
      <c r="M134" s="433"/>
      <c r="N134" s="608"/>
      <c r="O134" s="365"/>
      <c r="P134" s="375"/>
    </row>
    <row r="135" spans="2:16" ht="15.75" customHeight="1">
      <c r="B135" s="348"/>
      <c r="C135" s="363"/>
      <c r="D135" s="544" t="s">
        <v>170</v>
      </c>
      <c r="E135" s="545"/>
      <c r="F135" s="441"/>
      <c r="G135" s="380">
        <f>'4. Budget &amp; Cash Flow (Year 0)'!S73</f>
        <v>0</v>
      </c>
      <c r="H135" s="371">
        <v>0</v>
      </c>
      <c r="I135" s="371">
        <v>0</v>
      </c>
      <c r="J135" s="371">
        <v>0</v>
      </c>
      <c r="K135" s="371">
        <v>0</v>
      </c>
      <c r="L135" s="371">
        <v>0</v>
      </c>
      <c r="M135" s="433"/>
      <c r="N135" s="608"/>
      <c r="O135" s="365"/>
      <c r="P135" s="375"/>
    </row>
    <row r="136" spans="2:16" ht="15.75" customHeight="1">
      <c r="B136" s="348"/>
      <c r="C136" s="363"/>
      <c r="D136" s="544" t="s">
        <v>171</v>
      </c>
      <c r="E136" s="545"/>
      <c r="F136" s="441"/>
      <c r="G136" s="380">
        <f>'4. Budget &amp; Cash Flow (Year 0)'!S74</f>
        <v>30000</v>
      </c>
      <c r="H136" s="371">
        <v>50000</v>
      </c>
      <c r="I136" s="371">
        <v>50000</v>
      </c>
      <c r="J136" s="371">
        <v>40000</v>
      </c>
      <c r="K136" s="371">
        <v>40000</v>
      </c>
      <c r="L136" s="371">
        <v>40000</v>
      </c>
      <c r="M136" s="433"/>
      <c r="N136" s="608"/>
      <c r="O136" s="365"/>
      <c r="P136" s="375"/>
    </row>
    <row r="137" spans="2:16" ht="15.75" customHeight="1">
      <c r="B137" s="348"/>
      <c r="C137" s="363"/>
      <c r="D137" s="544" t="s">
        <v>274</v>
      </c>
      <c r="E137" s="545"/>
      <c r="F137" s="441"/>
      <c r="G137" s="380">
        <f>'4. Budget &amp; Cash Flow (Year 0)'!S75</f>
        <v>0</v>
      </c>
      <c r="H137" s="371">
        <f>(0.1*H53)</f>
        <v>190720.65100000001</v>
      </c>
      <c r="I137" s="371">
        <f>(0.1*I53)</f>
        <v>284660.97649999999</v>
      </c>
      <c r="J137" s="371">
        <f>(0.1*J53)</f>
        <v>388441.17574999999</v>
      </c>
      <c r="K137" s="371">
        <f>(0.1*K53)</f>
        <v>396961.17574999999</v>
      </c>
      <c r="L137" s="371">
        <f>(0.1*L53)</f>
        <v>402641.17574999999</v>
      </c>
      <c r="M137" s="433"/>
      <c r="N137" s="608"/>
      <c r="O137" s="365"/>
      <c r="P137" s="375"/>
    </row>
    <row r="138" spans="2:16" ht="15.75" customHeight="1">
      <c r="B138" s="348"/>
      <c r="C138" s="363"/>
      <c r="D138" s="448"/>
      <c r="E138" s="449"/>
      <c r="F138" s="52"/>
      <c r="G138" s="381"/>
      <c r="H138" s="100"/>
      <c r="I138" s="100"/>
      <c r="J138" s="100"/>
      <c r="K138" s="100"/>
      <c r="L138" s="364"/>
      <c r="M138" s="351"/>
      <c r="N138" s="609"/>
      <c r="O138" s="365"/>
      <c r="P138" s="375"/>
    </row>
    <row r="139" spans="2:16" ht="15.75" customHeight="1">
      <c r="B139" s="348"/>
      <c r="C139" s="363"/>
      <c r="D139" s="546" t="s">
        <v>173</v>
      </c>
      <c r="E139" s="547"/>
      <c r="F139" s="102"/>
      <c r="G139" s="382">
        <f t="shared" ref="G139:L139" si="3">SUM(G124:G137)</f>
        <v>37800</v>
      </c>
      <c r="H139" s="391">
        <f t="shared" si="3"/>
        <v>453720.65100000001</v>
      </c>
      <c r="I139" s="391">
        <f t="shared" si="3"/>
        <v>597960.97649999999</v>
      </c>
      <c r="J139" s="391">
        <f t="shared" si="3"/>
        <v>781516.17574999994</v>
      </c>
      <c r="K139" s="391">
        <f t="shared" si="3"/>
        <v>864889.92574999994</v>
      </c>
      <c r="L139" s="391">
        <f t="shared" si="3"/>
        <v>921106.36324999994</v>
      </c>
      <c r="M139" s="428"/>
      <c r="N139" s="610"/>
      <c r="O139" s="373"/>
      <c r="P139" s="375"/>
    </row>
    <row r="140" spans="2:16" ht="15.75" customHeight="1">
      <c r="B140" s="348"/>
      <c r="C140" s="363"/>
      <c r="D140" s="448"/>
      <c r="E140" s="449"/>
      <c r="F140" s="52"/>
      <c r="G140" s="399"/>
      <c r="H140" s="400"/>
      <c r="I140" s="400"/>
      <c r="J140" s="400"/>
      <c r="K140" s="400"/>
      <c r="L140" s="401"/>
      <c r="M140" s="422"/>
      <c r="N140" s="420"/>
      <c r="O140" s="373"/>
      <c r="P140" s="353"/>
    </row>
    <row r="141" spans="2:16" ht="15.75" customHeight="1">
      <c r="B141" s="348"/>
      <c r="C141" s="363"/>
      <c r="D141" s="548" t="s">
        <v>174</v>
      </c>
      <c r="E141" s="549"/>
      <c r="F141" s="350"/>
      <c r="G141" s="444"/>
      <c r="H141" s="402"/>
      <c r="I141" s="403"/>
      <c r="J141" s="403"/>
      <c r="K141" s="403"/>
      <c r="L141" s="403"/>
      <c r="M141" s="355"/>
      <c r="N141" s="440" t="s">
        <v>275</v>
      </c>
      <c r="O141" s="398"/>
      <c r="P141" s="353"/>
    </row>
    <row r="142" spans="2:16" ht="15.75" customHeight="1">
      <c r="B142" s="348"/>
      <c r="C142" s="363"/>
      <c r="D142" s="544" t="s">
        <v>175</v>
      </c>
      <c r="E142" s="545"/>
      <c r="F142" s="441"/>
      <c r="G142" s="380">
        <f>'4. Budget &amp; Cash Flow (Year 0)'!S80</f>
        <v>0</v>
      </c>
      <c r="H142" s="371">
        <v>80000</v>
      </c>
      <c r="I142" s="371">
        <v>80000</v>
      </c>
      <c r="J142" s="371">
        <v>100000</v>
      </c>
      <c r="K142" s="371">
        <v>100000</v>
      </c>
      <c r="L142" s="371">
        <v>100000</v>
      </c>
      <c r="M142" s="433"/>
      <c r="N142" s="611"/>
      <c r="O142" s="365"/>
      <c r="P142" s="353"/>
    </row>
    <row r="143" spans="2:16" ht="15.75" customHeight="1">
      <c r="B143" s="348"/>
      <c r="C143" s="363"/>
      <c r="D143" s="544" t="s">
        <v>176</v>
      </c>
      <c r="E143" s="545"/>
      <c r="F143" s="441"/>
      <c r="G143" s="380">
        <f>'4. Budget &amp; Cash Flow (Year 0)'!S81</f>
        <v>0</v>
      </c>
      <c r="H143" s="371">
        <v>0</v>
      </c>
      <c r="I143" s="371">
        <v>0</v>
      </c>
      <c r="J143" s="371">
        <v>0</v>
      </c>
      <c r="K143" s="371">
        <v>0</v>
      </c>
      <c r="L143" s="371">
        <v>0</v>
      </c>
      <c r="M143" s="433"/>
      <c r="N143" s="608"/>
      <c r="O143" s="373"/>
      <c r="P143" s="353"/>
    </row>
    <row r="144" spans="2:16" ht="15.75" customHeight="1">
      <c r="B144" s="348"/>
      <c r="C144" s="363"/>
      <c r="D144" s="448" t="s">
        <v>177</v>
      </c>
      <c r="E144" s="449"/>
      <c r="F144" s="441"/>
      <c r="G144" s="380">
        <f>'4. Budget &amp; Cash Flow (Year 0)'!S82</f>
        <v>0</v>
      </c>
      <c r="H144" s="371">
        <v>50000</v>
      </c>
      <c r="I144" s="371">
        <v>75000</v>
      </c>
      <c r="J144" s="371">
        <v>75000</v>
      </c>
      <c r="K144" s="371"/>
      <c r="L144" s="371">
        <v>0</v>
      </c>
      <c r="M144" s="433"/>
      <c r="N144" s="608"/>
      <c r="O144" s="373"/>
      <c r="P144" s="353"/>
    </row>
    <row r="145" spans="2:16" ht="15.75" customHeight="1">
      <c r="B145" s="348"/>
      <c r="C145" s="363"/>
      <c r="D145" s="448" t="s">
        <v>178</v>
      </c>
      <c r="E145" s="449"/>
      <c r="F145" s="441"/>
      <c r="G145" s="380">
        <f>'4. Budget &amp; Cash Flow (Year 0)'!S83</f>
        <v>0</v>
      </c>
      <c r="H145" s="371">
        <v>20000</v>
      </c>
      <c r="I145" s="371">
        <f>H145*1.05</f>
        <v>21000</v>
      </c>
      <c r="J145" s="371">
        <f>I145*1.05</f>
        <v>22050</v>
      </c>
      <c r="K145" s="371">
        <f>J145*1.05</f>
        <v>23152.5</v>
      </c>
      <c r="L145" s="371">
        <f>K145*1.05</f>
        <v>24310.125</v>
      </c>
      <c r="M145" s="433"/>
      <c r="N145" s="608"/>
      <c r="O145" s="373"/>
      <c r="P145" s="353"/>
    </row>
    <row r="146" spans="2:16" ht="15.75" customHeight="1">
      <c r="B146" s="348"/>
      <c r="C146" s="363"/>
      <c r="D146" s="448" t="s">
        <v>179</v>
      </c>
      <c r="E146" s="449"/>
      <c r="F146" s="441"/>
      <c r="G146" s="380">
        <f>'4. Budget &amp; Cash Flow (Year 0)'!S84</f>
        <v>0</v>
      </c>
      <c r="H146" s="371">
        <v>0</v>
      </c>
      <c r="I146" s="371">
        <v>0</v>
      </c>
      <c r="J146" s="371">
        <v>0</v>
      </c>
      <c r="K146" s="371">
        <v>0</v>
      </c>
      <c r="L146" s="371">
        <v>0</v>
      </c>
      <c r="M146" s="433"/>
      <c r="N146" s="608"/>
      <c r="O146" s="373"/>
      <c r="P146" s="353"/>
    </row>
    <row r="147" spans="2:16" ht="15.75" customHeight="1">
      <c r="B147" s="348"/>
      <c r="C147" s="363"/>
      <c r="D147" s="448" t="s">
        <v>180</v>
      </c>
      <c r="E147" s="449"/>
      <c r="F147" s="441"/>
      <c r="G147" s="380">
        <f>'4. Budget &amp; Cash Flow (Year 0)'!S85</f>
        <v>0</v>
      </c>
      <c r="H147" s="371">
        <v>0</v>
      </c>
      <c r="I147" s="371">
        <v>0</v>
      </c>
      <c r="J147" s="371">
        <v>0</v>
      </c>
      <c r="K147" s="371">
        <v>0</v>
      </c>
      <c r="L147" s="371">
        <v>0</v>
      </c>
      <c r="M147" s="433"/>
      <c r="N147" s="608"/>
      <c r="O147" s="373"/>
      <c r="P147" s="353"/>
    </row>
    <row r="148" spans="2:16" ht="15.75" customHeight="1">
      <c r="B148" s="348"/>
      <c r="C148" s="363"/>
      <c r="D148" s="448" t="s">
        <v>181</v>
      </c>
      <c r="E148" s="449"/>
      <c r="F148" s="441"/>
      <c r="G148" s="380">
        <f>'4. Budget &amp; Cash Flow (Year 0)'!S86</f>
        <v>0</v>
      </c>
      <c r="H148" s="371">
        <v>5000</v>
      </c>
      <c r="I148" s="371">
        <f>H148*1.05</f>
        <v>5250</v>
      </c>
      <c r="J148" s="371">
        <f>I148*1.05</f>
        <v>5512.5</v>
      </c>
      <c r="K148" s="371">
        <f>J148*1.05</f>
        <v>5788.125</v>
      </c>
      <c r="L148" s="371">
        <f>K148*1.05</f>
        <v>6077.53125</v>
      </c>
      <c r="M148" s="433"/>
      <c r="N148" s="608"/>
      <c r="O148" s="373"/>
      <c r="P148" s="353"/>
    </row>
    <row r="149" spans="2:16" ht="15.75" customHeight="1">
      <c r="B149" s="348"/>
      <c r="C149" s="363"/>
      <c r="D149" s="448" t="s">
        <v>182</v>
      </c>
      <c r="E149" s="449"/>
      <c r="F149" s="441"/>
      <c r="G149" s="380">
        <f>'4. Budget &amp; Cash Flow (Year 0)'!S87</f>
        <v>0</v>
      </c>
      <c r="H149" s="371"/>
      <c r="I149" s="371">
        <f>H149*1.03</f>
        <v>0</v>
      </c>
      <c r="J149" s="371">
        <f>I149*1.03</f>
        <v>0</v>
      </c>
      <c r="K149" s="371">
        <f>J149*1.03</f>
        <v>0</v>
      </c>
      <c r="L149" s="371">
        <f>K149*1.03</f>
        <v>0</v>
      </c>
      <c r="M149" s="433"/>
      <c r="N149" s="608"/>
      <c r="O149" s="373"/>
      <c r="P149" s="353"/>
    </row>
    <row r="150" spans="2:16" ht="15.75" customHeight="1">
      <c r="B150" s="348"/>
      <c r="C150" s="363"/>
      <c r="D150" s="448" t="s">
        <v>183</v>
      </c>
      <c r="E150" s="449"/>
      <c r="F150" s="441"/>
      <c r="G150" s="380">
        <f>'4. Budget &amp; Cash Flow (Year 0)'!S88</f>
        <v>0</v>
      </c>
      <c r="H150" s="371">
        <v>0</v>
      </c>
      <c r="I150" s="371">
        <v>0</v>
      </c>
      <c r="J150" s="371">
        <v>0</v>
      </c>
      <c r="K150" s="371">
        <v>0</v>
      </c>
      <c r="L150" s="371">
        <v>0</v>
      </c>
      <c r="M150" s="433"/>
      <c r="N150" s="608"/>
      <c r="O150" s="373"/>
      <c r="P150" s="353"/>
    </row>
    <row r="151" spans="2:16" ht="15.75" customHeight="1">
      <c r="B151" s="348"/>
      <c r="C151" s="363"/>
      <c r="D151" s="544" t="s">
        <v>184</v>
      </c>
      <c r="E151" s="545"/>
      <c r="F151" s="441"/>
      <c r="G151" s="380">
        <f>'4. Budget &amp; Cash Flow (Year 0)'!S89</f>
        <v>0</v>
      </c>
      <c r="H151" s="371">
        <v>0</v>
      </c>
      <c r="I151" s="371">
        <v>0</v>
      </c>
      <c r="J151" s="371">
        <v>0</v>
      </c>
      <c r="K151" s="371">
        <v>0</v>
      </c>
      <c r="L151" s="371">
        <v>0</v>
      </c>
      <c r="M151" s="433"/>
      <c r="N151" s="608"/>
      <c r="O151" s="373"/>
      <c r="P151" s="353"/>
    </row>
    <row r="152" spans="2:16" ht="15.75" customHeight="1">
      <c r="B152" s="348"/>
      <c r="C152" s="363"/>
      <c r="D152" s="544" t="s">
        <v>185</v>
      </c>
      <c r="E152" s="545"/>
      <c r="F152" s="441"/>
      <c r="G152" s="380">
        <f>'4. Budget &amp; Cash Flow (Year 0)'!S90</f>
        <v>0</v>
      </c>
      <c r="H152" s="371">
        <v>0</v>
      </c>
      <c r="I152" s="371">
        <v>0</v>
      </c>
      <c r="J152" s="371">
        <v>0</v>
      </c>
      <c r="K152" s="371">
        <v>0</v>
      </c>
      <c r="L152" s="371">
        <v>0</v>
      </c>
      <c r="M152" s="433"/>
      <c r="N152" s="608"/>
      <c r="O152" s="373"/>
      <c r="P152" s="353"/>
    </row>
    <row r="153" spans="2:16" ht="15.75" customHeight="1">
      <c r="B153" s="348"/>
      <c r="C153" s="363"/>
      <c r="D153" s="544" t="s">
        <v>186</v>
      </c>
      <c r="E153" s="545"/>
      <c r="F153" s="441"/>
      <c r="G153" s="380">
        <f>'4. Budget &amp; Cash Flow (Year 0)'!S91</f>
        <v>0</v>
      </c>
      <c r="H153" s="371">
        <v>0</v>
      </c>
      <c r="I153" s="371">
        <v>0</v>
      </c>
      <c r="J153" s="371">
        <v>0</v>
      </c>
      <c r="K153" s="371">
        <v>0</v>
      </c>
      <c r="L153" s="371">
        <v>0</v>
      </c>
      <c r="M153" s="433"/>
      <c r="N153" s="608"/>
      <c r="O153" s="373"/>
      <c r="P153" s="353"/>
    </row>
    <row r="154" spans="2:16" ht="15.75" customHeight="1">
      <c r="B154" s="348"/>
      <c r="C154" s="363"/>
      <c r="D154" s="544" t="s">
        <v>187</v>
      </c>
      <c r="E154" s="545"/>
      <c r="F154" s="441"/>
      <c r="G154" s="380">
        <f>'4. Budget &amp; Cash Flow (Year 0)'!S92</f>
        <v>0</v>
      </c>
      <c r="H154" s="371">
        <v>100000</v>
      </c>
      <c r="I154" s="371">
        <f t="shared" ref="I154:L155" si="4">H154*1.04</f>
        <v>104000</v>
      </c>
      <c r="J154" s="371">
        <f t="shared" si="4"/>
        <v>108160</v>
      </c>
      <c r="K154" s="371">
        <f t="shared" si="4"/>
        <v>112486.40000000001</v>
      </c>
      <c r="L154" s="371">
        <f t="shared" si="4"/>
        <v>116985.85600000001</v>
      </c>
      <c r="M154" s="433"/>
      <c r="N154" s="608"/>
      <c r="O154" s="373"/>
      <c r="P154" s="353"/>
    </row>
    <row r="155" spans="2:16" ht="15.75" customHeight="1">
      <c r="B155" s="348"/>
      <c r="C155" s="363"/>
      <c r="D155" s="544" t="s">
        <v>188</v>
      </c>
      <c r="E155" s="545"/>
      <c r="F155" s="441"/>
      <c r="G155" s="380">
        <f>'4. Budget &amp; Cash Flow (Year 0)'!S93</f>
        <v>0</v>
      </c>
      <c r="H155" s="371">
        <v>2000</v>
      </c>
      <c r="I155" s="371">
        <f t="shared" si="4"/>
        <v>2080</v>
      </c>
      <c r="J155" s="371">
        <f t="shared" si="4"/>
        <v>2163.2000000000003</v>
      </c>
      <c r="K155" s="371">
        <f t="shared" si="4"/>
        <v>2249.7280000000005</v>
      </c>
      <c r="L155" s="371">
        <f t="shared" si="4"/>
        <v>2339.7171200000007</v>
      </c>
      <c r="M155" s="433"/>
      <c r="N155" s="608"/>
      <c r="O155" s="373"/>
      <c r="P155" s="353"/>
    </row>
    <row r="156" spans="2:16" ht="15.75" customHeight="1">
      <c r="B156" s="348"/>
      <c r="C156" s="363"/>
      <c r="D156" s="544" t="s">
        <v>189</v>
      </c>
      <c r="E156" s="545"/>
      <c r="F156" s="441"/>
      <c r="G156" s="380">
        <f>'4. Budget &amp; Cash Flow (Year 0)'!S94</f>
        <v>0</v>
      </c>
      <c r="H156" s="371">
        <v>0</v>
      </c>
      <c r="I156" s="371">
        <v>0</v>
      </c>
      <c r="J156" s="371">
        <v>0</v>
      </c>
      <c r="K156" s="371">
        <v>0</v>
      </c>
      <c r="L156" s="371">
        <v>0</v>
      </c>
      <c r="M156" s="433"/>
      <c r="N156" s="608"/>
      <c r="O156" s="373"/>
      <c r="P156" s="353"/>
    </row>
    <row r="157" spans="2:16" ht="15.75" customHeight="1">
      <c r="B157" s="348"/>
      <c r="C157" s="363"/>
      <c r="D157" s="544" t="s">
        <v>190</v>
      </c>
      <c r="E157" s="545"/>
      <c r="F157" s="441"/>
      <c r="G157" s="380">
        <f>'4. Budget &amp; Cash Flow (Year 0)'!S95</f>
        <v>0</v>
      </c>
      <c r="H157" s="371">
        <v>0</v>
      </c>
      <c r="I157" s="371">
        <v>0</v>
      </c>
      <c r="J157" s="371">
        <v>0</v>
      </c>
      <c r="K157" s="371">
        <v>0</v>
      </c>
      <c r="L157" s="371">
        <v>0</v>
      </c>
      <c r="M157" s="433"/>
      <c r="N157" s="608"/>
      <c r="O157" s="365"/>
      <c r="P157" s="353"/>
    </row>
    <row r="158" spans="2:16" ht="15.75" customHeight="1">
      <c r="B158" s="348"/>
      <c r="C158" s="363"/>
      <c r="D158" s="448"/>
      <c r="E158" s="449"/>
      <c r="F158" s="52"/>
      <c r="G158" s="381"/>
      <c r="H158" s="100"/>
      <c r="I158" s="100"/>
      <c r="J158" s="100"/>
      <c r="K158" s="100"/>
      <c r="L158" s="364"/>
      <c r="M158" s="351"/>
      <c r="N158" s="609"/>
      <c r="O158" s="373"/>
      <c r="P158" s="353"/>
    </row>
    <row r="159" spans="2:16" ht="15.75" customHeight="1">
      <c r="B159" s="348"/>
      <c r="C159" s="363"/>
      <c r="D159" s="546" t="s">
        <v>191</v>
      </c>
      <c r="E159" s="547"/>
      <c r="F159" s="102"/>
      <c r="G159" s="382">
        <f t="shared" ref="G159:L159" si="5">SUM(G142:G157)</f>
        <v>0</v>
      </c>
      <c r="H159" s="391">
        <f t="shared" si="5"/>
        <v>257000</v>
      </c>
      <c r="I159" s="391">
        <f t="shared" si="5"/>
        <v>287330</v>
      </c>
      <c r="J159" s="391">
        <f t="shared" si="5"/>
        <v>312885.7</v>
      </c>
      <c r="K159" s="391">
        <f t="shared" si="5"/>
        <v>243676.75300000003</v>
      </c>
      <c r="L159" s="391">
        <f t="shared" si="5"/>
        <v>249713.22937000002</v>
      </c>
      <c r="M159" s="428"/>
      <c r="N159" s="610"/>
      <c r="O159" s="373"/>
      <c r="P159" s="353"/>
    </row>
    <row r="160" spans="2:16" ht="15.75" customHeight="1">
      <c r="B160" s="348"/>
      <c r="C160" s="363"/>
      <c r="D160" s="448"/>
      <c r="E160" s="449"/>
      <c r="F160" s="52"/>
      <c r="G160" s="383"/>
      <c r="H160" s="101"/>
      <c r="I160" s="101"/>
      <c r="J160" s="101"/>
      <c r="K160" s="101"/>
      <c r="L160" s="379"/>
      <c r="M160" s="351"/>
      <c r="N160" s="420"/>
      <c r="O160" s="373"/>
      <c r="P160" s="353"/>
    </row>
    <row r="161" spans="2:21" ht="15.75" customHeight="1">
      <c r="B161" s="348"/>
      <c r="C161" s="363"/>
      <c r="D161" s="548" t="s">
        <v>192</v>
      </c>
      <c r="E161" s="549"/>
      <c r="F161" s="350"/>
      <c r="G161" s="388"/>
      <c r="H161" s="384"/>
      <c r="I161" s="384"/>
      <c r="J161" s="384"/>
      <c r="K161" s="384"/>
      <c r="L161" s="385"/>
      <c r="M161" s="351"/>
      <c r="N161" s="16" t="s">
        <v>276</v>
      </c>
      <c r="O161" s="373"/>
      <c r="P161" s="353"/>
    </row>
    <row r="162" spans="2:21" ht="15.75" customHeight="1">
      <c r="B162" s="348"/>
      <c r="C162" s="363"/>
      <c r="D162" s="588" t="s">
        <v>277</v>
      </c>
      <c r="E162" s="545"/>
      <c r="F162" s="52"/>
      <c r="G162" s="443"/>
      <c r="H162" s="368">
        <f>IF('2. Enrollment Projections'!E33 &gt; 0, '2. Enrollment Projections'!E43*0.00335, ('2. Enrollment Projections'!E41*0.00335) - (('2. Enrollment Projections'!E33*((VLOOKUP('1. Instructions'!$E$8,CONTROL!$C$17:$G$306,2,FALSE))*CONTROL!J19)*0.00335)))</f>
        <v>5003.3231885000005</v>
      </c>
      <c r="I162" s="368">
        <f>IF('2. Enrollment Projections'!F33 &gt; 0, '2. Enrollment Projections'!F43*0.0075, ('2. Enrollment Projections'!F41*0.0075) - (('2. Enrollment Projections'!F33*((VLOOKUP('1. Instructions'!$E$8,CONTROL!$C$17:$G$306,2,FALSE))*CONTROL!K19)*0.0075)))</f>
        <v>16802.204737499997</v>
      </c>
      <c r="J162" s="368">
        <f>IF('2. Enrollment Projections'!G33 &gt; 0, '2. Enrollment Projections'!G43*0.0075, ('2. Enrollment Projections'!G41*0.0075) - (('2. Enrollment Projections'!G33*((VLOOKUP('1. Instructions'!$E$8,CONTROL!$C$17:$G$306,2,FALSE))*CONTROL!K19)*0.0075)))</f>
        <v>22688.691431249998</v>
      </c>
      <c r="K162" s="368">
        <f>IF('2. Enrollment Projections'!H33 &gt; 0, '2. Enrollment Projections'!H43*0.0075, ('2. Enrollment Projections'!H41*0.0075) - (('2. Enrollment Projections'!H33*((VLOOKUP('1. Instructions'!$E$8,CONTROL!$C$17:$G$306,2,FALSE))*CONTROL!K19)*0.0075)))</f>
        <v>22688.691431249998</v>
      </c>
      <c r="L162" s="368">
        <f>IF('2. Enrollment Projections'!I33 &gt; 0, '2. Enrollment Projections'!I43*0.0075, ('2. Enrollment Projections'!I41*0.0075) - (('2. Enrollment Projections'!I33*((VLOOKUP('1. Instructions'!$E$8,CONTROL!$C$17:$G$306,2,FALSE))*CONTROL!K19)*0.0075)))</f>
        <v>22688.691431249998</v>
      </c>
      <c r="M162" s="426"/>
      <c r="N162" s="614"/>
      <c r="O162" s="365"/>
      <c r="P162" s="353"/>
    </row>
    <row r="163" spans="2:21" ht="15.75" customHeight="1">
      <c r="B163" s="348"/>
      <c r="C163" s="363"/>
      <c r="D163" s="588" t="s">
        <v>278</v>
      </c>
      <c r="E163" s="589"/>
      <c r="F163" s="398"/>
      <c r="G163" s="380">
        <f>'4. Budget &amp; Cash Flow (Year 0)'!S100</f>
        <v>0</v>
      </c>
      <c r="H163" s="371">
        <v>0</v>
      </c>
      <c r="I163" s="371">
        <v>0</v>
      </c>
      <c r="J163" s="371">
        <v>0</v>
      </c>
      <c r="K163" s="371">
        <v>0</v>
      </c>
      <c r="L163" s="371"/>
      <c r="M163" s="433"/>
      <c r="N163" s="615"/>
      <c r="O163" s="365"/>
      <c r="P163" s="353"/>
    </row>
    <row r="164" spans="2:21" ht="15.75" customHeight="1">
      <c r="B164" s="348"/>
      <c r="C164" s="363"/>
      <c r="D164" s="544" t="s">
        <v>194</v>
      </c>
      <c r="E164" s="545"/>
      <c r="F164" s="441"/>
      <c r="G164" s="380">
        <f>'4. Budget &amp; Cash Flow (Year 0)'!S101</f>
        <v>0</v>
      </c>
      <c r="H164" s="371">
        <v>500</v>
      </c>
      <c r="I164" s="371">
        <v>500</v>
      </c>
      <c r="J164" s="371">
        <v>500</v>
      </c>
      <c r="K164" s="371">
        <v>500</v>
      </c>
      <c r="L164" s="371">
        <v>500</v>
      </c>
      <c r="M164" s="433"/>
      <c r="N164" s="615"/>
      <c r="O164" s="365"/>
      <c r="P164" s="353"/>
    </row>
    <row r="165" spans="2:21" ht="15.75" customHeight="1">
      <c r="B165" s="348"/>
      <c r="C165" s="363"/>
      <c r="D165" s="544" t="s">
        <v>279</v>
      </c>
      <c r="E165" s="545"/>
      <c r="F165" s="52"/>
      <c r="G165" s="380"/>
      <c r="H165" s="371">
        <v>0</v>
      </c>
      <c r="I165" s="371">
        <v>0</v>
      </c>
      <c r="J165" s="371">
        <v>0</v>
      </c>
      <c r="K165" s="371">
        <v>0</v>
      </c>
      <c r="L165" s="371">
        <v>0</v>
      </c>
      <c r="M165" s="433"/>
      <c r="N165" s="615"/>
      <c r="O165" s="373"/>
      <c r="P165" s="353"/>
    </row>
    <row r="166" spans="2:21" ht="15.75" customHeight="1">
      <c r="B166" s="348"/>
      <c r="C166" s="363"/>
      <c r="D166" s="588" t="s">
        <v>195</v>
      </c>
      <c r="E166" s="589"/>
      <c r="F166" s="398"/>
      <c r="G166" s="380">
        <f>'4. Budget &amp; Cash Flow (Year 0)'!S102</f>
        <v>0</v>
      </c>
      <c r="H166" s="371">
        <v>0</v>
      </c>
      <c r="I166" s="371">
        <v>0</v>
      </c>
      <c r="J166" s="371">
        <v>0</v>
      </c>
      <c r="K166" s="371">
        <v>0</v>
      </c>
      <c r="L166" s="371">
        <v>0</v>
      </c>
      <c r="M166" s="433"/>
      <c r="N166" s="615"/>
      <c r="O166" s="365"/>
      <c r="P166" s="353"/>
    </row>
    <row r="167" spans="2:21" ht="15.75" customHeight="1">
      <c r="B167" s="348"/>
      <c r="C167" s="363"/>
      <c r="D167" s="448"/>
      <c r="E167" s="449"/>
      <c r="F167" s="52"/>
      <c r="G167" s="381"/>
      <c r="H167" s="100"/>
      <c r="I167" s="100"/>
      <c r="J167" s="100"/>
      <c r="K167" s="100"/>
      <c r="L167" s="364"/>
      <c r="M167" s="351"/>
      <c r="N167" s="609"/>
      <c r="O167" s="373"/>
      <c r="P167" s="353"/>
    </row>
    <row r="168" spans="2:21" ht="15.75" customHeight="1">
      <c r="B168" s="348"/>
      <c r="C168" s="363"/>
      <c r="D168" s="546" t="s">
        <v>196</v>
      </c>
      <c r="E168" s="547"/>
      <c r="F168" s="102"/>
      <c r="G168" s="391">
        <f t="shared" ref="G168:L168" si="6">SUM(G162:G166)</f>
        <v>0</v>
      </c>
      <c r="H168" s="391">
        <f t="shared" si="6"/>
        <v>5503.3231885000005</v>
      </c>
      <c r="I168" s="391">
        <f t="shared" si="6"/>
        <v>17302.204737499997</v>
      </c>
      <c r="J168" s="391">
        <f t="shared" si="6"/>
        <v>23188.691431249998</v>
      </c>
      <c r="K168" s="391">
        <f t="shared" si="6"/>
        <v>23188.691431249998</v>
      </c>
      <c r="L168" s="391">
        <f t="shared" si="6"/>
        <v>23188.691431249998</v>
      </c>
      <c r="M168" s="429"/>
      <c r="N168" s="610"/>
      <c r="O168" s="373"/>
      <c r="P168" s="353"/>
      <c r="Q168" s="404"/>
    </row>
    <row r="169" spans="2:21" ht="15.75" customHeight="1">
      <c r="B169" s="348"/>
      <c r="C169" s="363"/>
      <c r="D169" s="544"/>
      <c r="E169" s="545"/>
      <c r="F169" s="52"/>
      <c r="G169" s="381"/>
      <c r="H169" s="100"/>
      <c r="I169" s="100"/>
      <c r="J169" s="100"/>
      <c r="K169" s="100"/>
      <c r="L169" s="364"/>
      <c r="M169" s="351"/>
      <c r="N169" s="420"/>
      <c r="O169" s="373"/>
      <c r="P169" s="353"/>
    </row>
    <row r="170" spans="2:21" ht="15.75" customHeight="1">
      <c r="B170" s="348"/>
      <c r="C170" s="363"/>
      <c r="D170" s="550" t="s">
        <v>197</v>
      </c>
      <c r="E170" s="551"/>
      <c r="F170" s="102"/>
      <c r="G170" s="377">
        <f t="shared" ref="G170:L170" si="7">G97+G109+G115+G121+G139+G159+G168</f>
        <v>153800</v>
      </c>
      <c r="H170" s="377">
        <f t="shared" si="7"/>
        <v>1873289.8241885002</v>
      </c>
      <c r="I170" s="377">
        <f t="shared" si="7"/>
        <v>2529515.3507375</v>
      </c>
      <c r="J170" s="377">
        <f t="shared" si="7"/>
        <v>3360853.1937662503</v>
      </c>
      <c r="K170" s="377">
        <f t="shared" si="7"/>
        <v>3710034.4236912499</v>
      </c>
      <c r="L170" s="377">
        <f t="shared" si="7"/>
        <v>3541934.23302125</v>
      </c>
      <c r="M170" s="430"/>
      <c r="N170" s="420"/>
      <c r="O170" s="373"/>
      <c r="P170" s="353"/>
    </row>
    <row r="171" spans="2:21" ht="15.75" customHeight="1">
      <c r="B171" s="348"/>
      <c r="C171" s="363"/>
      <c r="D171" s="594"/>
      <c r="E171" s="595"/>
      <c r="F171" s="52"/>
      <c r="G171" s="381"/>
      <c r="H171" s="100"/>
      <c r="I171" s="100"/>
      <c r="J171" s="100"/>
      <c r="K171" s="100"/>
      <c r="L171" s="364"/>
      <c r="M171" s="351"/>
      <c r="N171" s="420"/>
      <c r="O171" s="373"/>
      <c r="P171" s="353"/>
    </row>
    <row r="172" spans="2:21" ht="15.75" customHeight="1" thickBot="1">
      <c r="B172" s="348"/>
      <c r="C172" s="363"/>
      <c r="D172" s="590" t="s">
        <v>198</v>
      </c>
      <c r="E172" s="591"/>
      <c r="F172" s="102"/>
      <c r="G172" s="391">
        <f t="shared" ref="G172:L172" si="8">G53-G170</f>
        <v>46200.000000000029</v>
      </c>
      <c r="H172" s="391">
        <f t="shared" si="8"/>
        <v>33916.685811499832</v>
      </c>
      <c r="I172" s="391">
        <f t="shared" si="8"/>
        <v>317094.41426249966</v>
      </c>
      <c r="J172" s="391">
        <f t="shared" si="8"/>
        <v>523558.56373374956</v>
      </c>
      <c r="K172" s="391">
        <f t="shared" si="8"/>
        <v>259577.33380874991</v>
      </c>
      <c r="L172" s="391">
        <f t="shared" si="8"/>
        <v>484477.52447874984</v>
      </c>
      <c r="M172" s="429"/>
      <c r="N172" s="420"/>
      <c r="O172" s="373"/>
      <c r="P172" s="353"/>
    </row>
    <row r="173" spans="2:21" ht="15" customHeight="1">
      <c r="B173" s="348"/>
      <c r="C173" s="406"/>
      <c r="D173" s="407"/>
      <c r="E173" s="20"/>
      <c r="F173" s="20"/>
      <c r="G173" s="405"/>
      <c r="H173" s="405"/>
      <c r="I173" s="405"/>
      <c r="J173" s="405"/>
      <c r="K173" s="405"/>
      <c r="L173" s="405"/>
      <c r="M173" s="405"/>
      <c r="N173" s="408"/>
      <c r="O173" s="387"/>
      <c r="P173" s="353"/>
    </row>
    <row r="174" spans="2:21" customFormat="1" ht="15" customHeight="1">
      <c r="B174" s="409"/>
      <c r="C174" s="328"/>
      <c r="D174" s="349"/>
      <c r="E174" s="52"/>
      <c r="F174" s="52"/>
      <c r="G174" s="329"/>
      <c r="H174" s="329"/>
      <c r="I174" s="329"/>
      <c r="J174" s="329"/>
      <c r="K174" s="329"/>
      <c r="L174" s="329"/>
      <c r="M174" s="329"/>
      <c r="N174" s="329"/>
      <c r="O174" s="329"/>
      <c r="P174" s="410"/>
      <c r="Q174" s="411"/>
    </row>
    <row r="175" spans="2:21" customFormat="1" ht="18" customHeight="1">
      <c r="B175" s="409"/>
      <c r="C175" s="328"/>
      <c r="D175" s="458" t="s">
        <v>199</v>
      </c>
      <c r="E175" s="52"/>
      <c r="F175" s="52"/>
      <c r="G175" s="329"/>
      <c r="H175" s="329"/>
      <c r="I175" s="329"/>
      <c r="J175" s="329"/>
      <c r="K175" s="329"/>
      <c r="L175" s="329"/>
      <c r="M175" s="329"/>
      <c r="N175" s="329"/>
      <c r="O175" s="329"/>
      <c r="P175" s="410"/>
      <c r="Q175" s="78"/>
      <c r="T175" s="606"/>
      <c r="U175" s="606"/>
    </row>
    <row r="176" spans="2:21" ht="24.95" customHeight="1">
      <c r="B176" s="348"/>
      <c r="C176" s="328"/>
      <c r="D176" s="535" t="s">
        <v>280</v>
      </c>
      <c r="E176" s="593"/>
      <c r="F176" s="593"/>
      <c r="G176" s="593"/>
      <c r="H176" s="593"/>
      <c r="I176" s="593"/>
      <c r="J176" s="593"/>
      <c r="K176" s="593"/>
      <c r="L176" s="593"/>
      <c r="M176" s="593"/>
      <c r="N176" s="593"/>
      <c r="O176" s="355"/>
      <c r="P176" s="423"/>
      <c r="T176" s="412"/>
    </row>
    <row r="177" spans="2:20" ht="24.95" customHeight="1">
      <c r="B177" s="348"/>
      <c r="C177" s="328"/>
      <c r="D177" s="535" t="s">
        <v>281</v>
      </c>
      <c r="E177" s="593"/>
      <c r="F177" s="593"/>
      <c r="G177" s="593"/>
      <c r="H177" s="593"/>
      <c r="I177" s="593"/>
      <c r="J177" s="593"/>
      <c r="K177" s="593"/>
      <c r="L177" s="593"/>
      <c r="M177" s="593"/>
      <c r="N177" s="593"/>
      <c r="O177" s="355"/>
      <c r="P177" s="423"/>
      <c r="T177" s="412"/>
    </row>
    <row r="178" spans="2:20" ht="24.95" customHeight="1">
      <c r="B178" s="348"/>
      <c r="C178" s="328"/>
      <c r="D178" s="535" t="s">
        <v>282</v>
      </c>
      <c r="E178" s="593"/>
      <c r="F178" s="593"/>
      <c r="G178" s="593"/>
      <c r="H178" s="593"/>
      <c r="I178" s="593"/>
      <c r="J178" s="593"/>
      <c r="K178" s="593"/>
      <c r="L178" s="593"/>
      <c r="M178" s="593"/>
      <c r="N178" s="593"/>
      <c r="O178" s="355"/>
      <c r="P178" s="423"/>
      <c r="T178" s="412"/>
    </row>
    <row r="179" spans="2:20" ht="18" customHeight="1">
      <c r="B179" s="348"/>
      <c r="C179" s="328"/>
      <c r="D179" s="535" t="s">
        <v>283</v>
      </c>
      <c r="E179" s="593"/>
      <c r="F179" s="593"/>
      <c r="G179" s="593"/>
      <c r="H179" s="593"/>
      <c r="I179" s="593"/>
      <c r="J179" s="593"/>
      <c r="K179" s="593"/>
      <c r="L179" s="593"/>
      <c r="M179" s="593"/>
      <c r="N179" s="593"/>
      <c r="O179" s="355"/>
      <c r="P179" s="423"/>
    </row>
    <row r="180" spans="2:20" ht="15" customHeight="1">
      <c r="B180" s="348"/>
      <c r="C180" s="328"/>
      <c r="D180" s="535" t="s">
        <v>284</v>
      </c>
      <c r="E180" s="593"/>
      <c r="F180" s="593"/>
      <c r="G180" s="593"/>
      <c r="H180" s="593"/>
      <c r="I180" s="593"/>
      <c r="J180" s="593"/>
      <c r="K180" s="593"/>
      <c r="L180" s="593"/>
      <c r="M180" s="593"/>
      <c r="N180" s="593"/>
      <c r="O180" s="355"/>
      <c r="P180" s="423"/>
    </row>
    <row r="181" spans="2:20" ht="17.25" customHeight="1">
      <c r="B181" s="348"/>
      <c r="C181" s="154"/>
      <c r="D181" s="535" t="s">
        <v>285</v>
      </c>
      <c r="E181" s="593"/>
      <c r="F181" s="593"/>
      <c r="G181" s="593"/>
      <c r="H181" s="593"/>
      <c r="I181" s="593"/>
      <c r="J181" s="593"/>
      <c r="K181" s="593"/>
      <c r="L181" s="593"/>
      <c r="M181" s="593"/>
      <c r="N181" s="593"/>
      <c r="O181" s="355"/>
      <c r="P181" s="423"/>
    </row>
    <row r="182" spans="2:20" ht="34.5" customHeight="1">
      <c r="B182" s="348"/>
      <c r="C182" s="328"/>
      <c r="D182" s="535" t="s">
        <v>286</v>
      </c>
      <c r="E182" s="593"/>
      <c r="F182" s="593"/>
      <c r="G182" s="593"/>
      <c r="H182" s="593"/>
      <c r="I182" s="593"/>
      <c r="J182" s="593"/>
      <c r="K182" s="593"/>
      <c r="L182" s="593"/>
      <c r="M182" s="593"/>
      <c r="N182" s="593"/>
      <c r="O182" s="355"/>
      <c r="P182" s="423"/>
    </row>
    <row r="183" spans="2:20" ht="15" customHeight="1" thickBot="1">
      <c r="B183" s="413"/>
      <c r="C183" s="414"/>
      <c r="D183" s="415"/>
      <c r="E183" s="53"/>
      <c r="F183" s="53"/>
      <c r="G183" s="53"/>
      <c r="H183" s="53"/>
      <c r="I183" s="53"/>
      <c r="J183" s="53"/>
      <c r="K183" s="53"/>
      <c r="L183" s="416"/>
      <c r="M183" s="416"/>
      <c r="N183" s="417"/>
      <c r="O183" s="417"/>
      <c r="P183" s="54"/>
    </row>
  </sheetData>
  <sheetProtection password="BDDB" sheet="1" objects="1" scenarios="1" selectLockedCells="1"/>
  <mergeCells count="159">
    <mergeCell ref="D2:N2"/>
    <mergeCell ref="D13:E14"/>
    <mergeCell ref="G13:G14"/>
    <mergeCell ref="H13:H14"/>
    <mergeCell ref="I13:I14"/>
    <mergeCell ref="D177:N177"/>
    <mergeCell ref="D178:N178"/>
    <mergeCell ref="D179:N179"/>
    <mergeCell ref="D180:N180"/>
    <mergeCell ref="D176:N176"/>
    <mergeCell ref="N142:N159"/>
    <mergeCell ref="N162:N168"/>
    <mergeCell ref="D163:E163"/>
    <mergeCell ref="D164:E164"/>
    <mergeCell ref="D165:E165"/>
    <mergeCell ref="D166:E166"/>
    <mergeCell ref="D159:E159"/>
    <mergeCell ref="D155:E155"/>
    <mergeCell ref="N100:N109"/>
    <mergeCell ref="N90:N95"/>
    <mergeCell ref="N124:N139"/>
    <mergeCell ref="D7:S7"/>
    <mergeCell ref="D8:S8"/>
    <mergeCell ref="D10:S10"/>
    <mergeCell ref="J13:J14"/>
    <mergeCell ref="K13:K14"/>
    <mergeCell ref="L13:L14"/>
    <mergeCell ref="D142:E142"/>
    <mergeCell ref="D143:E143"/>
    <mergeCell ref="T175:U175"/>
    <mergeCell ref="D161:E161"/>
    <mergeCell ref="D162:E162"/>
    <mergeCell ref="D156:E156"/>
    <mergeCell ref="D157:E157"/>
    <mergeCell ref="N33:N42"/>
    <mergeCell ref="N45:N51"/>
    <mergeCell ref="N75:N85"/>
    <mergeCell ref="D171:E171"/>
    <mergeCell ref="D172:E172"/>
    <mergeCell ref="N112:N115"/>
    <mergeCell ref="N118:N121"/>
    <mergeCell ref="N17:N30"/>
    <mergeCell ref="N13:N14"/>
    <mergeCell ref="D169:E169"/>
    <mergeCell ref="D170:E170"/>
    <mergeCell ref="D136:E136"/>
    <mergeCell ref="D182:N182"/>
    <mergeCell ref="D151:E151"/>
    <mergeCell ref="D152:E152"/>
    <mergeCell ref="D139:E139"/>
    <mergeCell ref="D168:E168"/>
    <mergeCell ref="D153:E153"/>
    <mergeCell ref="D154:E154"/>
    <mergeCell ref="D181:N181"/>
    <mergeCell ref="D135:E135"/>
    <mergeCell ref="D123:E123"/>
    <mergeCell ref="D124:E124"/>
    <mergeCell ref="D125:E125"/>
    <mergeCell ref="D126:E126"/>
    <mergeCell ref="D118:E118"/>
    <mergeCell ref="D119:E119"/>
    <mergeCell ref="D121:E121"/>
    <mergeCell ref="D141:E141"/>
    <mergeCell ref="D127:E127"/>
    <mergeCell ref="D128:E128"/>
    <mergeCell ref="D129:E129"/>
    <mergeCell ref="D130:E130"/>
    <mergeCell ref="D131:E131"/>
    <mergeCell ref="D137:E137"/>
    <mergeCell ref="D132:E132"/>
    <mergeCell ref="D133:E133"/>
    <mergeCell ref="D134:E134"/>
    <mergeCell ref="D100:E100"/>
    <mergeCell ref="D101:E101"/>
    <mergeCell ref="D102:E102"/>
    <mergeCell ref="D103:E103"/>
    <mergeCell ref="D104:E104"/>
    <mergeCell ref="D113:E113"/>
    <mergeCell ref="D115:E115"/>
    <mergeCell ref="D117:E117"/>
    <mergeCell ref="D111:E111"/>
    <mergeCell ref="D112:E112"/>
    <mergeCell ref="D105:E105"/>
    <mergeCell ref="D106:E106"/>
    <mergeCell ref="D107:E107"/>
    <mergeCell ref="D109:E109"/>
    <mergeCell ref="D93:E93"/>
    <mergeCell ref="D95:E95"/>
    <mergeCell ref="D97:E97"/>
    <mergeCell ref="D87:E87"/>
    <mergeCell ref="D89:E89"/>
    <mergeCell ref="D90:E90"/>
    <mergeCell ref="D91:E91"/>
    <mergeCell ref="D92:E92"/>
    <mergeCell ref="D99:E99"/>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81:E81"/>
    <mergeCell ref="D47:E47"/>
    <mergeCell ref="D48:E48"/>
    <mergeCell ref="D49:E49"/>
    <mergeCell ref="D58:E58"/>
    <mergeCell ref="D59:E59"/>
    <mergeCell ref="D60:E60"/>
    <mergeCell ref="D61:E61"/>
    <mergeCell ref="D62:E62"/>
    <mergeCell ref="D50:E50"/>
    <mergeCell ref="D51:E51"/>
    <mergeCell ref="D52:E52"/>
    <mergeCell ref="D53:E53"/>
    <mergeCell ref="D55:E56"/>
    <mergeCell ref="D32:E32"/>
    <mergeCell ref="D39:E39"/>
    <mergeCell ref="D40:E40"/>
    <mergeCell ref="D41:E41"/>
    <mergeCell ref="D42:E42"/>
    <mergeCell ref="D43:E43"/>
    <mergeCell ref="D44:E44"/>
    <mergeCell ref="D45:E45"/>
    <mergeCell ref="D46:E46"/>
    <mergeCell ref="D18:E18"/>
    <mergeCell ref="D29:E29"/>
    <mergeCell ref="D30:E30"/>
    <mergeCell ref="D31:E31"/>
    <mergeCell ref="H99:L99"/>
    <mergeCell ref="D16:E16"/>
    <mergeCell ref="D17:E17"/>
    <mergeCell ref="D26:E26"/>
    <mergeCell ref="D27:E27"/>
    <mergeCell ref="H32:L32"/>
    <mergeCell ref="D19:E19"/>
    <mergeCell ref="D28:E28"/>
    <mergeCell ref="D33:E33"/>
    <mergeCell ref="D34:E34"/>
    <mergeCell ref="D24:E24"/>
    <mergeCell ref="D25:E25"/>
    <mergeCell ref="D20:E20"/>
    <mergeCell ref="D21:E21"/>
    <mergeCell ref="D22:E22"/>
    <mergeCell ref="D23:E23"/>
    <mergeCell ref="D35:E35"/>
    <mergeCell ref="D36:E36"/>
    <mergeCell ref="D37:E37"/>
    <mergeCell ref="D38:E38"/>
  </mergeCells>
  <conditionalFormatting sqref="G88:M88">
    <cfRule type="cellIs" dxfId="66" priority="2" stopIfTrue="1" operator="equal">
      <formula>"ERROR"</formula>
    </cfRule>
    <cfRule type="cellIs" dxfId="65" priority="4" stopIfTrue="1" operator="equal">
      <formula>"ERROR"</formula>
    </cfRule>
  </conditionalFormatting>
  <conditionalFormatting sqref="G98:M98">
    <cfRule type="cellIs" dxfId="64" priority="3" stopIfTrue="1" operator="equal">
      <formula>"ERROR"</formula>
    </cfRule>
  </conditionalFormatting>
  <conditionalFormatting sqref="G172:M172">
    <cfRule type="cellIs" dxfId="63" priority="1" stopIfTrue="1" operator="lessThan">
      <formula>0</formula>
    </cfRule>
  </conditionalFormatting>
  <pageMargins left="0.7" right="0.7" top="0.75" bottom="0.75" header="0.3" footer="0.3"/>
  <pageSetup scale="91" orientation="portrait" horizontalDpi="1200" verticalDpi="1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election activeCell="I31" sqref="I31"/>
    </sheetView>
  </sheetViews>
  <sheetFormatPr defaultRowHeight="12.75"/>
  <cols>
    <col min="1" max="2" width="9.140625" style="3"/>
    <col min="3" max="3" width="33" style="3" customWidth="1"/>
    <col min="4" max="4" width="15.85546875" style="3" customWidth="1"/>
    <col min="5" max="5" width="16.28515625" style="3" customWidth="1"/>
    <col min="6" max="6" width="16" style="3" customWidth="1"/>
    <col min="7" max="7" width="17.140625" style="3" customWidth="1"/>
    <col min="8" max="8" width="4.42578125" style="3" customWidth="1"/>
    <col min="9" max="9" width="20" style="3" customWidth="1"/>
    <col min="10" max="10" width="24.42578125" style="3" customWidth="1"/>
    <col min="11" max="11" width="10.140625" style="3" customWidth="1"/>
    <col min="12" max="13" width="9.140625" style="3"/>
    <col min="14" max="14" width="12" style="3" bestFit="1" customWidth="1"/>
    <col min="15" max="16384" width="9.140625" style="3"/>
  </cols>
  <sheetData>
    <row r="2" spans="2:10">
      <c r="B2" s="59" t="s">
        <v>287</v>
      </c>
      <c r="C2" s="60" t="s">
        <v>288</v>
      </c>
      <c r="D2" s="61"/>
      <c r="E2" s="61"/>
      <c r="F2" s="61"/>
      <c r="G2" s="62"/>
      <c r="H2" s="62"/>
      <c r="I2" s="62"/>
      <c r="J2" s="63"/>
    </row>
    <row r="3" spans="2:10">
      <c r="B3" s="64"/>
      <c r="C3" s="65" t="s">
        <v>289</v>
      </c>
      <c r="D3" s="66"/>
      <c r="E3" s="66"/>
      <c r="F3" s="66"/>
      <c r="G3" s="67"/>
      <c r="H3" s="67"/>
      <c r="I3" s="67"/>
      <c r="J3" s="68"/>
    </row>
    <row r="4" spans="2:10">
      <c r="B4" s="64"/>
      <c r="C4" s="65" t="s">
        <v>290</v>
      </c>
      <c r="D4" s="66"/>
      <c r="E4" s="66"/>
      <c r="F4" s="66"/>
      <c r="G4" s="67"/>
      <c r="H4" s="67"/>
      <c r="I4" s="67"/>
      <c r="J4" s="68"/>
    </row>
    <row r="5" spans="2:10">
      <c r="B5" s="64"/>
      <c r="C5" s="65" t="s">
        <v>291</v>
      </c>
      <c r="D5" s="66"/>
      <c r="E5" s="66"/>
      <c r="F5" s="66"/>
      <c r="G5" s="67"/>
      <c r="H5" s="67"/>
      <c r="I5" s="67"/>
      <c r="J5" s="68"/>
    </row>
    <row r="6" spans="2:10">
      <c r="B6" s="64"/>
      <c r="C6" s="65" t="s">
        <v>292</v>
      </c>
      <c r="D6" s="66"/>
      <c r="E6" s="66"/>
      <c r="F6" s="66"/>
      <c r="G6" s="67"/>
      <c r="H6" s="67"/>
      <c r="I6" s="67"/>
      <c r="J6" s="68"/>
    </row>
    <row r="7" spans="2:10">
      <c r="B7" s="64"/>
      <c r="C7" s="65" t="s">
        <v>293</v>
      </c>
      <c r="D7" s="66"/>
      <c r="E7" s="66"/>
      <c r="F7" s="66"/>
      <c r="G7" s="67"/>
      <c r="H7" s="67"/>
      <c r="I7" s="67"/>
      <c r="J7" s="68"/>
    </row>
    <row r="8" spans="2:10">
      <c r="B8" s="64"/>
      <c r="C8" s="65" t="s">
        <v>294</v>
      </c>
      <c r="D8" s="66"/>
      <c r="E8" s="66"/>
      <c r="F8" s="66"/>
      <c r="G8" s="67"/>
      <c r="H8" s="67"/>
      <c r="I8" s="67"/>
      <c r="J8" s="68"/>
    </row>
    <row r="9" spans="2:10">
      <c r="B9" s="69"/>
      <c r="C9" s="70" t="s">
        <v>295</v>
      </c>
      <c r="D9" s="71"/>
      <c r="E9" s="71"/>
      <c r="F9" s="71"/>
      <c r="G9" s="72"/>
      <c r="H9" s="72"/>
      <c r="I9" s="72"/>
      <c r="J9" s="73"/>
    </row>
    <row r="10" spans="2:10" ht="13.5" thickBot="1"/>
    <row r="11" spans="2:10" ht="53.25" customHeight="1">
      <c r="B11" s="620" t="s">
        <v>296</v>
      </c>
      <c r="C11" s="621"/>
      <c r="D11" s="621"/>
      <c r="E11" s="621"/>
      <c r="F11" s="621"/>
      <c r="G11" s="621"/>
      <c r="H11" s="621"/>
      <c r="I11" s="621"/>
      <c r="J11" s="622"/>
    </row>
    <row r="12" spans="2:10" ht="16.5" customHeight="1" thickBot="1">
      <c r="B12" s="623" t="s">
        <v>297</v>
      </c>
      <c r="C12" s="624"/>
      <c r="D12" s="624"/>
      <c r="E12" s="624"/>
      <c r="F12" s="624"/>
      <c r="G12" s="624"/>
      <c r="H12" s="624"/>
      <c r="I12" s="624"/>
      <c r="J12" s="625"/>
    </row>
    <row r="13" spans="2:10" ht="14.25" customHeight="1">
      <c r="B13" s="77"/>
      <c r="C13" s="78"/>
      <c r="D13" s="78"/>
      <c r="E13" s="78"/>
      <c r="F13" s="78"/>
      <c r="G13" s="78"/>
      <c r="H13" s="78"/>
      <c r="I13" s="78"/>
      <c r="J13" s="78"/>
    </row>
    <row r="14" spans="2:10">
      <c r="C14" s="618" t="s">
        <v>298</v>
      </c>
      <c r="D14" s="619"/>
      <c r="E14" s="55"/>
      <c r="F14" s="55"/>
      <c r="H14" s="618"/>
      <c r="I14" s="618"/>
      <c r="J14" s="618"/>
    </row>
    <row r="15" spans="2:10">
      <c r="D15" s="55"/>
      <c r="E15" s="55"/>
      <c r="F15" s="55"/>
      <c r="H15" s="90"/>
      <c r="I15" s="90"/>
      <c r="J15" s="90"/>
    </row>
    <row r="16" spans="2:10" s="55" customFormat="1">
      <c r="B16" s="93"/>
      <c r="C16" s="94" t="s">
        <v>299</v>
      </c>
      <c r="D16" s="74" t="s">
        <v>300</v>
      </c>
      <c r="E16" s="81" t="s">
        <v>301</v>
      </c>
      <c r="F16" s="81" t="s">
        <v>302</v>
      </c>
      <c r="G16" s="55" t="s">
        <v>303</v>
      </c>
      <c r="H16" s="95"/>
      <c r="I16" s="96"/>
      <c r="J16" s="91"/>
    </row>
    <row r="17" spans="2:14">
      <c r="B17" s="57"/>
      <c r="C17" s="58" t="s">
        <v>304</v>
      </c>
      <c r="D17" s="56"/>
      <c r="E17" s="83"/>
      <c r="F17" s="85"/>
      <c r="G17" s="84"/>
      <c r="H17" s="90"/>
      <c r="I17" s="491" t="s">
        <v>305</v>
      </c>
      <c r="J17" s="492" t="s">
        <v>306</v>
      </c>
      <c r="K17" s="493" t="s">
        <v>307</v>
      </c>
    </row>
    <row r="18" spans="2:14">
      <c r="C18" s="86" t="s">
        <v>308</v>
      </c>
      <c r="D18" s="89">
        <v>6.6100000000000006E-2</v>
      </c>
      <c r="E18" s="82">
        <f t="shared" ref="E18:E49" si="0">(D18*$J$19)+$J$18</f>
        <v>6244.5275000000001</v>
      </c>
      <c r="F18" s="89">
        <v>6.6100000000000006E-2</v>
      </c>
      <c r="G18" s="82">
        <f>(F18*$K$19)+$K$18</f>
        <v>6484.5275000000001</v>
      </c>
      <c r="I18" s="494" t="s">
        <v>309</v>
      </c>
      <c r="J18" s="495">
        <v>5995</v>
      </c>
      <c r="K18" s="496">
        <v>6235</v>
      </c>
    </row>
    <row r="19" spans="2:14">
      <c r="C19" s="86" t="s">
        <v>310</v>
      </c>
      <c r="D19" s="89">
        <v>0.20180000000000001</v>
      </c>
      <c r="E19" s="82">
        <f t="shared" si="0"/>
        <v>6756.7950000000001</v>
      </c>
      <c r="F19" s="89">
        <v>0.19689999999999999</v>
      </c>
      <c r="G19" s="82">
        <f t="shared" ref="G19:G82" si="1">(F19*$K$19)+$K$18</f>
        <v>6978.2974999999997</v>
      </c>
      <c r="I19" s="97" t="s">
        <v>311</v>
      </c>
      <c r="J19" s="79">
        <v>3775</v>
      </c>
      <c r="K19" s="92">
        <v>3775</v>
      </c>
    </row>
    <row r="20" spans="2:14">
      <c r="C20" s="86" t="s">
        <v>312</v>
      </c>
      <c r="D20" s="89">
        <v>0.41899999999999998</v>
      </c>
      <c r="E20" s="82">
        <f t="shared" si="0"/>
        <v>7576.7250000000004</v>
      </c>
      <c r="F20" s="89">
        <v>0.39400000000000002</v>
      </c>
      <c r="G20" s="82">
        <f t="shared" si="1"/>
        <v>7722.35</v>
      </c>
      <c r="I20" s="97" t="s">
        <v>313</v>
      </c>
      <c r="J20" s="79"/>
      <c r="K20" s="92"/>
      <c r="L20" s="3" t="s">
        <v>314</v>
      </c>
    </row>
    <row r="21" spans="2:14">
      <c r="C21" s="86" t="s">
        <v>315</v>
      </c>
      <c r="D21" s="89">
        <v>0.11840000000000001</v>
      </c>
      <c r="E21" s="82">
        <f t="shared" si="0"/>
        <v>6441.96</v>
      </c>
      <c r="F21" s="89">
        <v>0.11840000000000001</v>
      </c>
      <c r="G21" s="82">
        <f t="shared" si="1"/>
        <v>6681.96</v>
      </c>
      <c r="I21" s="97" t="s">
        <v>316</v>
      </c>
      <c r="J21" s="79">
        <v>2657</v>
      </c>
      <c r="K21" s="92">
        <v>2657</v>
      </c>
      <c r="L21" s="3" t="s">
        <v>317</v>
      </c>
    </row>
    <row r="22" spans="2:14">
      <c r="C22" s="86" t="s">
        <v>318</v>
      </c>
      <c r="D22" s="89">
        <v>0.1792</v>
      </c>
      <c r="E22" s="82">
        <f t="shared" si="0"/>
        <v>6671.48</v>
      </c>
      <c r="F22" s="89">
        <v>0.1792</v>
      </c>
      <c r="G22" s="82">
        <f t="shared" si="1"/>
        <v>6911.48</v>
      </c>
      <c r="I22" s="497" t="s">
        <v>319</v>
      </c>
      <c r="J22" s="498">
        <v>6750</v>
      </c>
      <c r="K22" s="499">
        <v>6750</v>
      </c>
    </row>
    <row r="23" spans="2:14">
      <c r="C23" s="86" t="s">
        <v>320</v>
      </c>
      <c r="D23" s="89">
        <v>6.3700000000000007E-2</v>
      </c>
      <c r="E23" s="82">
        <f t="shared" si="0"/>
        <v>6235.4674999999997</v>
      </c>
      <c r="F23" s="89">
        <v>6.3700000000000007E-2</v>
      </c>
      <c r="G23" s="82">
        <f t="shared" si="1"/>
        <v>6475.4674999999997</v>
      </c>
      <c r="H23" s="75"/>
    </row>
    <row r="24" spans="2:14">
      <c r="C24" s="86" t="s">
        <v>321</v>
      </c>
      <c r="D24" s="89">
        <v>5.7799999999999997E-2</v>
      </c>
      <c r="E24" s="82">
        <f t="shared" si="0"/>
        <v>6213.1949999999997</v>
      </c>
      <c r="F24" s="89">
        <v>5.7799999999999997E-2</v>
      </c>
      <c r="G24" s="82">
        <f t="shared" si="1"/>
        <v>6453.1949999999997</v>
      </c>
      <c r="I24" s="3" t="s">
        <v>322</v>
      </c>
      <c r="N24" s="80"/>
    </row>
    <row r="25" spans="2:14">
      <c r="C25" s="86" t="s">
        <v>323</v>
      </c>
      <c r="D25" s="89">
        <v>0.13389999999999999</v>
      </c>
      <c r="E25" s="82">
        <f t="shared" si="0"/>
        <v>6500.4724999999999</v>
      </c>
      <c r="F25" s="89">
        <v>0.13389999999999999</v>
      </c>
      <c r="G25" s="82">
        <f t="shared" si="1"/>
        <v>6740.4724999999999</v>
      </c>
      <c r="N25" s="80"/>
    </row>
    <row r="26" spans="2:14" ht="15">
      <c r="C26" s="86" t="s">
        <v>324</v>
      </c>
      <c r="D26" s="89">
        <v>7.8200000000000006E-2</v>
      </c>
      <c r="E26" s="82">
        <f t="shared" si="0"/>
        <v>6290.2049999999999</v>
      </c>
      <c r="F26" s="89">
        <v>7.8200000000000006E-2</v>
      </c>
      <c r="G26" s="82">
        <f t="shared" si="1"/>
        <v>6530.2049999999999</v>
      </c>
      <c r="J26" s="321"/>
    </row>
    <row r="27" spans="2:14">
      <c r="C27" s="86" t="s">
        <v>325</v>
      </c>
      <c r="D27" s="89">
        <v>9.74E-2</v>
      </c>
      <c r="E27" s="82">
        <f t="shared" si="0"/>
        <v>6362.6850000000004</v>
      </c>
      <c r="F27" s="89">
        <v>9.74E-2</v>
      </c>
      <c r="G27" s="82">
        <f t="shared" si="1"/>
        <v>6602.6850000000004</v>
      </c>
      <c r="J27" s="3" t="s">
        <v>326</v>
      </c>
    </row>
    <row r="28" spans="2:14">
      <c r="C28" s="86" t="s">
        <v>327</v>
      </c>
      <c r="D28" s="89">
        <v>0.29099999999999998</v>
      </c>
      <c r="E28" s="82">
        <f t="shared" si="0"/>
        <v>7093.5249999999996</v>
      </c>
      <c r="F28" s="89">
        <v>0.29099999999999998</v>
      </c>
      <c r="G28" s="82">
        <f t="shared" si="1"/>
        <v>7333.5249999999996</v>
      </c>
      <c r="J28" s="3" t="s">
        <v>27</v>
      </c>
    </row>
    <row r="29" spans="2:14">
      <c r="C29" s="86" t="s">
        <v>328</v>
      </c>
      <c r="D29" s="89">
        <v>0.17599999999999999</v>
      </c>
      <c r="E29" s="82">
        <f t="shared" si="0"/>
        <v>6659.4</v>
      </c>
      <c r="F29" s="89">
        <v>0.151</v>
      </c>
      <c r="G29" s="82">
        <f t="shared" si="1"/>
        <v>6805.0249999999996</v>
      </c>
      <c r="J29" s="3" t="s">
        <v>329</v>
      </c>
    </row>
    <row r="30" spans="2:14">
      <c r="C30" s="86" t="s">
        <v>330</v>
      </c>
      <c r="D30" s="89">
        <v>0.25490000000000002</v>
      </c>
      <c r="E30" s="82">
        <f t="shared" si="0"/>
        <v>6957.2475000000004</v>
      </c>
      <c r="F30" s="89">
        <v>0.23880000000000001</v>
      </c>
      <c r="G30" s="82">
        <f t="shared" si="1"/>
        <v>7136.47</v>
      </c>
      <c r="J30" s="3" t="s">
        <v>331</v>
      </c>
    </row>
    <row r="31" spans="2:14">
      <c r="C31" s="86" t="s">
        <v>332</v>
      </c>
      <c r="D31" s="89">
        <v>0.1593</v>
      </c>
      <c r="E31" s="82">
        <f t="shared" si="0"/>
        <v>6596.3575000000001</v>
      </c>
      <c r="F31" s="89">
        <v>0.1593</v>
      </c>
      <c r="G31" s="82">
        <f t="shared" si="1"/>
        <v>6836.3575000000001</v>
      </c>
    </row>
    <row r="32" spans="2:14">
      <c r="C32" s="86" t="s">
        <v>333</v>
      </c>
      <c r="D32" s="89">
        <v>0.17749999999999999</v>
      </c>
      <c r="E32" s="82">
        <f t="shared" si="0"/>
        <v>6665.0625</v>
      </c>
      <c r="F32" s="89">
        <v>0.17749999999999999</v>
      </c>
      <c r="G32" s="82">
        <f t="shared" si="1"/>
        <v>6905.0625</v>
      </c>
    </row>
    <row r="33" spans="3:7">
      <c r="C33" s="86" t="s">
        <v>334</v>
      </c>
      <c r="D33" s="89">
        <v>8.2500000000000004E-2</v>
      </c>
      <c r="E33" s="82">
        <f t="shared" si="0"/>
        <v>6306.4375</v>
      </c>
      <c r="F33" s="89">
        <v>7.4499999999999997E-2</v>
      </c>
      <c r="G33" s="82">
        <f t="shared" si="1"/>
        <v>6516.2375000000002</v>
      </c>
    </row>
    <row r="34" spans="3:7">
      <c r="C34" s="86" t="s">
        <v>335</v>
      </c>
      <c r="D34" s="89">
        <v>0.16259999999999999</v>
      </c>
      <c r="E34" s="82">
        <f t="shared" si="0"/>
        <v>6608.8149999999996</v>
      </c>
      <c r="F34" s="89">
        <v>0.1452</v>
      </c>
      <c r="G34" s="82">
        <f t="shared" si="1"/>
        <v>6783.13</v>
      </c>
    </row>
    <row r="35" spans="3:7">
      <c r="C35" s="86" t="s">
        <v>336</v>
      </c>
      <c r="D35" s="89">
        <v>5.3699999999999998E-2</v>
      </c>
      <c r="E35" s="82">
        <f t="shared" si="0"/>
        <v>6197.7174999999997</v>
      </c>
      <c r="F35" s="89">
        <v>5.3699999999999998E-2</v>
      </c>
      <c r="G35" s="82">
        <f t="shared" si="1"/>
        <v>6437.7174999999997</v>
      </c>
    </row>
    <row r="36" spans="3:7">
      <c r="C36" s="86" t="s">
        <v>337</v>
      </c>
      <c r="D36" s="89">
        <v>0.12859999999999999</v>
      </c>
      <c r="E36" s="82">
        <f t="shared" si="0"/>
        <v>6480.4650000000001</v>
      </c>
      <c r="F36" s="89">
        <v>0.12859999999999999</v>
      </c>
      <c r="G36" s="82">
        <f t="shared" si="1"/>
        <v>6720.4650000000001</v>
      </c>
    </row>
    <row r="37" spans="3:7">
      <c r="C37" s="86" t="s">
        <v>338</v>
      </c>
      <c r="D37" s="89">
        <v>0.17519999999999999</v>
      </c>
      <c r="E37" s="82">
        <f t="shared" si="0"/>
        <v>6656.38</v>
      </c>
      <c r="F37" s="89">
        <v>0.1552</v>
      </c>
      <c r="G37" s="82">
        <f t="shared" si="1"/>
        <v>6820.88</v>
      </c>
    </row>
    <row r="38" spans="3:7">
      <c r="C38" s="87" t="s">
        <v>339</v>
      </c>
      <c r="D38" s="89">
        <v>0.38129999999999997</v>
      </c>
      <c r="E38" s="82">
        <f t="shared" si="0"/>
        <v>7434.4074999999993</v>
      </c>
      <c r="F38" s="89">
        <v>0.38129999999999997</v>
      </c>
      <c r="G38" s="82">
        <f t="shared" si="1"/>
        <v>7674.4074999999993</v>
      </c>
    </row>
    <row r="39" spans="3:7">
      <c r="C39" s="86" t="s">
        <v>340</v>
      </c>
      <c r="D39" s="89">
        <v>2.3599999999999999E-2</v>
      </c>
      <c r="E39" s="82">
        <f t="shared" si="0"/>
        <v>6084.09</v>
      </c>
      <c r="F39" s="89">
        <v>2.3599999999999999E-2</v>
      </c>
      <c r="G39" s="82">
        <f t="shared" si="1"/>
        <v>6324.09</v>
      </c>
    </row>
    <row r="40" spans="3:7">
      <c r="C40" s="86" t="s">
        <v>341</v>
      </c>
      <c r="D40" s="89">
        <v>0.1</v>
      </c>
      <c r="E40" s="82">
        <f t="shared" si="0"/>
        <v>6372.5</v>
      </c>
      <c r="F40" s="89">
        <v>9.7299999999999998E-2</v>
      </c>
      <c r="G40" s="82">
        <f t="shared" si="1"/>
        <v>6602.3074999999999</v>
      </c>
    </row>
    <row r="41" spans="3:7">
      <c r="C41" s="86" t="s">
        <v>342</v>
      </c>
      <c r="D41" s="89">
        <v>0.1404</v>
      </c>
      <c r="E41" s="82">
        <f t="shared" si="0"/>
        <v>6525.01</v>
      </c>
      <c r="F41" s="89">
        <v>0.1404</v>
      </c>
      <c r="G41" s="82">
        <f t="shared" si="1"/>
        <v>6765.01</v>
      </c>
    </row>
    <row r="42" spans="3:7">
      <c r="C42" s="86" t="s">
        <v>343</v>
      </c>
      <c r="D42" s="89">
        <v>5.6399999999999999E-2</v>
      </c>
      <c r="E42" s="82">
        <f t="shared" si="0"/>
        <v>6207.91</v>
      </c>
      <c r="F42" s="89">
        <v>5.6399999999999999E-2</v>
      </c>
      <c r="G42" s="82">
        <f t="shared" si="1"/>
        <v>6447.91</v>
      </c>
    </row>
    <row r="43" spans="3:7">
      <c r="C43" s="86" t="s">
        <v>344</v>
      </c>
      <c r="D43" s="89">
        <v>0.13500000000000001</v>
      </c>
      <c r="E43" s="82">
        <f t="shared" si="0"/>
        <v>6504.625</v>
      </c>
      <c r="F43" s="89">
        <v>0.13370000000000001</v>
      </c>
      <c r="G43" s="82">
        <f t="shared" si="1"/>
        <v>6739.7174999999997</v>
      </c>
    </row>
    <row r="44" spans="3:7">
      <c r="C44" s="86" t="s">
        <v>345</v>
      </c>
      <c r="D44" s="89">
        <v>0.1091</v>
      </c>
      <c r="E44" s="82">
        <f t="shared" si="0"/>
        <v>6406.8525</v>
      </c>
      <c r="F44" s="89">
        <v>0.1091</v>
      </c>
      <c r="G44" s="82">
        <f t="shared" si="1"/>
        <v>6646.8525</v>
      </c>
    </row>
    <row r="45" spans="3:7">
      <c r="C45" s="86" t="s">
        <v>346</v>
      </c>
      <c r="D45" s="89">
        <v>0.111</v>
      </c>
      <c r="E45" s="82">
        <f t="shared" si="0"/>
        <v>6414.0249999999996</v>
      </c>
      <c r="F45" s="89">
        <v>0.1086</v>
      </c>
      <c r="G45" s="82">
        <f t="shared" si="1"/>
        <v>6644.9650000000001</v>
      </c>
    </row>
    <row r="46" spans="3:7">
      <c r="C46" s="86" t="s">
        <v>347</v>
      </c>
      <c r="D46" s="89">
        <v>0.20610000000000001</v>
      </c>
      <c r="E46" s="82">
        <f t="shared" si="0"/>
        <v>6773.0275000000001</v>
      </c>
      <c r="F46" s="89">
        <v>0.19670000000000001</v>
      </c>
      <c r="G46" s="82">
        <f t="shared" si="1"/>
        <v>6977.5424999999996</v>
      </c>
    </row>
    <row r="47" spans="3:7">
      <c r="C47" s="86" t="s">
        <v>348</v>
      </c>
      <c r="D47" s="89">
        <v>0.21240000000000001</v>
      </c>
      <c r="E47" s="82">
        <f t="shared" si="0"/>
        <v>6796.81</v>
      </c>
      <c r="F47" s="89">
        <v>0.20399999999999999</v>
      </c>
      <c r="G47" s="82">
        <f t="shared" si="1"/>
        <v>7005.1</v>
      </c>
    </row>
    <row r="48" spans="3:7">
      <c r="C48" s="86" t="s">
        <v>349</v>
      </c>
      <c r="D48" s="89">
        <v>0.1489</v>
      </c>
      <c r="E48" s="82">
        <f t="shared" si="0"/>
        <v>6557.0974999999999</v>
      </c>
      <c r="F48" s="89">
        <v>0.1239</v>
      </c>
      <c r="G48" s="82">
        <f t="shared" si="1"/>
        <v>6702.7224999999999</v>
      </c>
    </row>
    <row r="49" spans="3:7">
      <c r="C49" s="86" t="s">
        <v>350</v>
      </c>
      <c r="D49" s="89">
        <v>0.1502</v>
      </c>
      <c r="E49" s="82">
        <f t="shared" si="0"/>
        <v>6562.0050000000001</v>
      </c>
      <c r="F49" s="89">
        <v>0.1502</v>
      </c>
      <c r="G49" s="82">
        <f t="shared" si="1"/>
        <v>6802.0050000000001</v>
      </c>
    </row>
    <row r="50" spans="3:7">
      <c r="C50" s="86" t="s">
        <v>351</v>
      </c>
      <c r="D50" s="89">
        <v>0.21840000000000001</v>
      </c>
      <c r="E50" s="82">
        <f t="shared" ref="E50:E80" si="2">(D50*$J$19)+$J$18</f>
        <v>6819.46</v>
      </c>
      <c r="F50" s="89">
        <v>0.2104</v>
      </c>
      <c r="G50" s="82">
        <f t="shared" si="1"/>
        <v>7029.26</v>
      </c>
    </row>
    <row r="51" spans="3:7">
      <c r="C51" s="86" t="s">
        <v>352</v>
      </c>
      <c r="D51" s="89">
        <v>0.2331</v>
      </c>
      <c r="E51" s="82">
        <f t="shared" si="2"/>
        <v>6874.9525000000003</v>
      </c>
      <c r="F51" s="89">
        <v>0.20810000000000001</v>
      </c>
      <c r="G51" s="82">
        <f t="shared" si="1"/>
        <v>7020.5775000000003</v>
      </c>
    </row>
    <row r="52" spans="3:7">
      <c r="C52" s="86" t="s">
        <v>353</v>
      </c>
      <c r="D52" s="89">
        <v>0.14599999999999999</v>
      </c>
      <c r="E52" s="82">
        <f t="shared" si="2"/>
        <v>6546.15</v>
      </c>
      <c r="F52" s="89">
        <v>0.1237</v>
      </c>
      <c r="G52" s="82">
        <f t="shared" si="1"/>
        <v>6701.9674999999997</v>
      </c>
    </row>
    <row r="53" spans="3:7">
      <c r="C53" s="86" t="s">
        <v>354</v>
      </c>
      <c r="D53" s="89">
        <v>0.10150000000000001</v>
      </c>
      <c r="E53" s="82">
        <f t="shared" si="2"/>
        <v>6378.1625000000004</v>
      </c>
      <c r="F53" s="89">
        <v>9.8799999999999999E-2</v>
      </c>
      <c r="G53" s="82">
        <f t="shared" si="1"/>
        <v>6607.97</v>
      </c>
    </row>
    <row r="54" spans="3:7">
      <c r="C54" s="86" t="s">
        <v>355</v>
      </c>
      <c r="D54" s="89">
        <v>0.17879999999999999</v>
      </c>
      <c r="E54" s="82">
        <f t="shared" si="2"/>
        <v>6669.97</v>
      </c>
      <c r="F54" s="89">
        <v>0.17879999999999999</v>
      </c>
      <c r="G54" s="82">
        <f t="shared" si="1"/>
        <v>6909.97</v>
      </c>
    </row>
    <row r="55" spans="3:7">
      <c r="C55" s="86" t="s">
        <v>356</v>
      </c>
      <c r="D55" s="89">
        <v>0.21010000000000001</v>
      </c>
      <c r="E55" s="82">
        <f t="shared" si="2"/>
        <v>6788.1275000000005</v>
      </c>
      <c r="F55" s="89">
        <v>0.21010000000000001</v>
      </c>
      <c r="G55" s="82">
        <f t="shared" si="1"/>
        <v>7028.1275000000005</v>
      </c>
    </row>
    <row r="56" spans="3:7">
      <c r="C56" s="86" t="s">
        <v>357</v>
      </c>
      <c r="D56" s="89">
        <v>0.22450000000000001</v>
      </c>
      <c r="E56" s="82">
        <f t="shared" si="2"/>
        <v>6842.4875000000002</v>
      </c>
      <c r="F56" s="89">
        <v>0.21</v>
      </c>
      <c r="G56" s="82">
        <f t="shared" si="1"/>
        <v>7027.75</v>
      </c>
    </row>
    <row r="57" spans="3:7">
      <c r="C57" s="86" t="s">
        <v>358</v>
      </c>
      <c r="D57" s="89">
        <v>0.1898</v>
      </c>
      <c r="E57" s="82">
        <f t="shared" si="2"/>
        <v>6711.4949999999999</v>
      </c>
      <c r="F57" s="89">
        <v>0.18840000000000001</v>
      </c>
      <c r="G57" s="82">
        <f t="shared" si="1"/>
        <v>6946.21</v>
      </c>
    </row>
    <row r="58" spans="3:7">
      <c r="C58" s="86" t="s">
        <v>359</v>
      </c>
      <c r="D58" s="89">
        <v>6.6000000000000003E-2</v>
      </c>
      <c r="E58" s="82">
        <f t="shared" si="2"/>
        <v>6244.15</v>
      </c>
      <c r="F58" s="89">
        <v>6.6000000000000003E-2</v>
      </c>
      <c r="G58" s="82">
        <f t="shared" si="1"/>
        <v>6484.15</v>
      </c>
    </row>
    <row r="59" spans="3:7">
      <c r="C59" s="87" t="s">
        <v>360</v>
      </c>
      <c r="D59" s="89">
        <v>0.20730000000000001</v>
      </c>
      <c r="E59" s="82">
        <f t="shared" si="2"/>
        <v>6777.5574999999999</v>
      </c>
      <c r="F59" s="89">
        <v>0.19</v>
      </c>
      <c r="G59" s="82">
        <f t="shared" si="1"/>
        <v>6952.25</v>
      </c>
    </row>
    <row r="60" spans="3:7">
      <c r="C60" s="86" t="s">
        <v>361</v>
      </c>
      <c r="D60" s="89">
        <v>0.154</v>
      </c>
      <c r="E60" s="82">
        <f t="shared" si="2"/>
        <v>6576.35</v>
      </c>
      <c r="F60" s="89">
        <v>0.154</v>
      </c>
      <c r="G60" s="82">
        <f t="shared" si="1"/>
        <v>6816.35</v>
      </c>
    </row>
    <row r="61" spans="3:7">
      <c r="C61" s="86" t="s">
        <v>362</v>
      </c>
      <c r="D61" s="89">
        <v>7.3800000000000004E-2</v>
      </c>
      <c r="E61" s="82">
        <f t="shared" si="2"/>
        <v>6273.5950000000003</v>
      </c>
      <c r="F61" s="89">
        <v>7.3800000000000004E-2</v>
      </c>
      <c r="G61" s="82">
        <f t="shared" si="1"/>
        <v>6513.5950000000003</v>
      </c>
    </row>
    <row r="62" spans="3:7">
      <c r="C62" s="86" t="s">
        <v>363</v>
      </c>
      <c r="D62" s="89">
        <v>0.14430000000000001</v>
      </c>
      <c r="E62" s="82">
        <f t="shared" si="2"/>
        <v>6539.7325000000001</v>
      </c>
      <c r="F62" s="89">
        <v>0.13370000000000001</v>
      </c>
      <c r="G62" s="82">
        <f t="shared" si="1"/>
        <v>6739.7174999999997</v>
      </c>
    </row>
    <row r="63" spans="3:7">
      <c r="C63" s="86" t="s">
        <v>364</v>
      </c>
      <c r="D63" s="89">
        <v>0.1176</v>
      </c>
      <c r="E63" s="82">
        <f t="shared" si="2"/>
        <v>6438.94</v>
      </c>
      <c r="F63" s="89">
        <v>0.1052</v>
      </c>
      <c r="G63" s="82">
        <f t="shared" si="1"/>
        <v>6632.13</v>
      </c>
    </row>
    <row r="64" spans="3:7">
      <c r="C64" s="86" t="s">
        <v>365</v>
      </c>
      <c r="D64" s="89">
        <v>0.13450000000000001</v>
      </c>
      <c r="E64" s="82">
        <f t="shared" si="2"/>
        <v>6502.7375000000002</v>
      </c>
      <c r="F64" s="89">
        <v>0.128</v>
      </c>
      <c r="G64" s="82">
        <f t="shared" si="1"/>
        <v>6718.2</v>
      </c>
    </row>
    <row r="65" spans="3:7">
      <c r="C65" s="86" t="s">
        <v>366</v>
      </c>
      <c r="D65" s="89">
        <v>0.15529999999999999</v>
      </c>
      <c r="E65" s="82">
        <f t="shared" si="2"/>
        <v>6581.2574999999997</v>
      </c>
      <c r="F65" s="89">
        <v>0.15529999999999999</v>
      </c>
      <c r="G65" s="82">
        <f t="shared" si="1"/>
        <v>6821.2574999999997</v>
      </c>
    </row>
    <row r="66" spans="3:7">
      <c r="C66" s="86" t="s">
        <v>367</v>
      </c>
      <c r="D66" s="89">
        <v>0.13289999999999999</v>
      </c>
      <c r="E66" s="82">
        <f t="shared" si="2"/>
        <v>6496.6975000000002</v>
      </c>
      <c r="F66" s="89">
        <v>0.13289999999999999</v>
      </c>
      <c r="G66" s="82">
        <f t="shared" si="1"/>
        <v>6736.6975000000002</v>
      </c>
    </row>
    <row r="67" spans="3:7">
      <c r="C67" s="86" t="s">
        <v>368</v>
      </c>
      <c r="D67" s="89">
        <v>8.3900000000000002E-2</v>
      </c>
      <c r="E67" s="82">
        <f t="shared" si="2"/>
        <v>6311.7224999999999</v>
      </c>
      <c r="F67" s="89">
        <v>8.2000000000000003E-2</v>
      </c>
      <c r="G67" s="82">
        <f t="shared" si="1"/>
        <v>6544.55</v>
      </c>
    </row>
    <row r="68" spans="3:7">
      <c r="C68" s="86" t="s">
        <v>369</v>
      </c>
      <c r="D68" s="89">
        <v>0.21840000000000001</v>
      </c>
      <c r="E68" s="82">
        <f t="shared" si="2"/>
        <v>6819.46</v>
      </c>
      <c r="F68" s="89">
        <v>0.21840000000000001</v>
      </c>
      <c r="G68" s="82">
        <f t="shared" si="1"/>
        <v>7059.46</v>
      </c>
    </row>
    <row r="69" spans="3:7">
      <c r="C69" s="86" t="s">
        <v>370</v>
      </c>
      <c r="D69" s="89">
        <v>0.17219999999999999</v>
      </c>
      <c r="E69" s="82">
        <f t="shared" si="2"/>
        <v>6645.0550000000003</v>
      </c>
      <c r="F69" s="89">
        <v>0.17219999999999999</v>
      </c>
      <c r="G69" s="82">
        <f t="shared" si="1"/>
        <v>6885.0550000000003</v>
      </c>
    </row>
    <row r="70" spans="3:7">
      <c r="C70" s="86" t="s">
        <v>371</v>
      </c>
      <c r="D70" s="89">
        <v>0.15079999999999999</v>
      </c>
      <c r="E70" s="82">
        <f t="shared" si="2"/>
        <v>6564.27</v>
      </c>
      <c r="F70" s="89">
        <v>0.13339999999999999</v>
      </c>
      <c r="G70" s="82">
        <f t="shared" si="1"/>
        <v>6738.585</v>
      </c>
    </row>
    <row r="71" spans="3:7">
      <c r="C71" s="86" t="s">
        <v>372</v>
      </c>
      <c r="D71" s="89">
        <v>5.0200000000000002E-2</v>
      </c>
      <c r="E71" s="82">
        <f t="shared" si="2"/>
        <v>6184.5050000000001</v>
      </c>
      <c r="F71" s="89">
        <v>5.0200000000000002E-2</v>
      </c>
      <c r="G71" s="82">
        <f t="shared" si="1"/>
        <v>6424.5050000000001</v>
      </c>
    </row>
    <row r="72" spans="3:7">
      <c r="C72" s="86" t="s">
        <v>373</v>
      </c>
      <c r="D72" s="89">
        <v>0.1711</v>
      </c>
      <c r="E72" s="82">
        <f t="shared" si="2"/>
        <v>6640.9025000000001</v>
      </c>
      <c r="F72" s="89">
        <v>0.15590000000000001</v>
      </c>
      <c r="G72" s="82">
        <f t="shared" si="1"/>
        <v>6823.5225</v>
      </c>
    </row>
    <row r="73" spans="3:7">
      <c r="C73" s="86" t="s">
        <v>374</v>
      </c>
      <c r="D73" s="89">
        <v>0.1507</v>
      </c>
      <c r="E73" s="82">
        <f t="shared" si="2"/>
        <v>6563.8924999999999</v>
      </c>
      <c r="F73" s="89">
        <v>0.1507</v>
      </c>
      <c r="G73" s="82">
        <f t="shared" si="1"/>
        <v>6803.8924999999999</v>
      </c>
    </row>
    <row r="74" spans="3:7">
      <c r="C74" s="86" t="s">
        <v>375</v>
      </c>
      <c r="D74" s="89">
        <v>0.16020000000000001</v>
      </c>
      <c r="E74" s="82">
        <f t="shared" si="2"/>
        <v>6599.7550000000001</v>
      </c>
      <c r="F74" s="89">
        <v>0.15129999999999999</v>
      </c>
      <c r="G74" s="82">
        <f t="shared" si="1"/>
        <v>6806.1575000000003</v>
      </c>
    </row>
    <row r="75" spans="3:7">
      <c r="C75" s="86" t="s">
        <v>376</v>
      </c>
      <c r="D75" s="89">
        <v>9.9699999999999997E-2</v>
      </c>
      <c r="E75" s="82">
        <f t="shared" si="2"/>
        <v>6371.3675000000003</v>
      </c>
      <c r="F75" s="89">
        <v>8.9599999999999999E-2</v>
      </c>
      <c r="G75" s="82">
        <f t="shared" si="1"/>
        <v>6573.24</v>
      </c>
    </row>
    <row r="76" spans="3:7">
      <c r="C76" s="86" t="s">
        <v>377</v>
      </c>
      <c r="D76" s="89">
        <v>0.11899999999999999</v>
      </c>
      <c r="E76" s="82">
        <f t="shared" si="2"/>
        <v>6444.2250000000004</v>
      </c>
      <c r="F76" s="89">
        <v>0.11899999999999999</v>
      </c>
      <c r="G76" s="82">
        <f t="shared" si="1"/>
        <v>6684.2250000000004</v>
      </c>
    </row>
    <row r="77" spans="3:7">
      <c r="C77" s="86" t="s">
        <v>378</v>
      </c>
      <c r="D77" s="89">
        <v>0.161</v>
      </c>
      <c r="E77" s="82">
        <f t="shared" si="2"/>
        <v>6602.7749999999996</v>
      </c>
      <c r="F77" s="89">
        <v>0.13600000000000001</v>
      </c>
      <c r="G77" s="82">
        <f t="shared" si="1"/>
        <v>6748.4</v>
      </c>
    </row>
    <row r="78" spans="3:7">
      <c r="C78" s="86" t="s">
        <v>379</v>
      </c>
      <c r="D78" s="89">
        <v>0.2157</v>
      </c>
      <c r="E78" s="82">
        <f t="shared" si="2"/>
        <v>6809.2674999999999</v>
      </c>
      <c r="F78" s="89">
        <v>0.19070000000000001</v>
      </c>
      <c r="G78" s="82">
        <f t="shared" si="1"/>
        <v>6954.8924999999999</v>
      </c>
    </row>
    <row r="79" spans="3:7">
      <c r="C79" s="86" t="s">
        <v>380</v>
      </c>
      <c r="D79" s="89">
        <v>0.2477</v>
      </c>
      <c r="E79" s="82">
        <f t="shared" si="2"/>
        <v>6930.0675000000001</v>
      </c>
      <c r="F79" s="89">
        <v>0.2477</v>
      </c>
      <c r="G79" s="82">
        <f t="shared" si="1"/>
        <v>7170.0675000000001</v>
      </c>
    </row>
    <row r="80" spans="3:7">
      <c r="C80" s="86" t="s">
        <v>381</v>
      </c>
      <c r="D80" s="89">
        <v>0.28349999999999997</v>
      </c>
      <c r="E80" s="82">
        <f t="shared" si="2"/>
        <v>7065.2124999999996</v>
      </c>
      <c r="F80" s="89">
        <v>0.2656</v>
      </c>
      <c r="G80" s="82">
        <f t="shared" si="1"/>
        <v>7237.64</v>
      </c>
    </row>
    <row r="81" spans="3:7">
      <c r="C81" s="86" t="s">
        <v>382</v>
      </c>
      <c r="D81" s="89">
        <v>0.17780000000000001</v>
      </c>
      <c r="E81" s="82">
        <f t="shared" ref="E81:E144" si="3">(D81*$J$19)+$J$18</f>
        <v>6666.1949999999997</v>
      </c>
      <c r="F81" s="89">
        <v>0.15279999999999999</v>
      </c>
      <c r="G81" s="82">
        <f t="shared" si="1"/>
        <v>6811.82</v>
      </c>
    </row>
    <row r="82" spans="3:7">
      <c r="C82" s="86" t="s">
        <v>383</v>
      </c>
      <c r="D82" s="89">
        <v>0.25750000000000001</v>
      </c>
      <c r="E82" s="82">
        <f t="shared" si="3"/>
        <v>6967.0625</v>
      </c>
      <c r="F82" s="89">
        <v>0.24340000000000001</v>
      </c>
      <c r="G82" s="82">
        <f t="shared" si="1"/>
        <v>7153.835</v>
      </c>
    </row>
    <row r="83" spans="3:7">
      <c r="C83" s="86" t="s">
        <v>384</v>
      </c>
      <c r="D83" s="89">
        <v>3.61E-2</v>
      </c>
      <c r="E83" s="82">
        <f t="shared" si="3"/>
        <v>6131.2775000000001</v>
      </c>
      <c r="F83" s="89">
        <v>3.61E-2</v>
      </c>
      <c r="G83" s="82">
        <f t="shared" ref="G83:G146" si="4">(F83*$K$19)+$K$18</f>
        <v>6371.2775000000001</v>
      </c>
    </row>
    <row r="84" spans="3:7">
      <c r="C84" s="86" t="s">
        <v>385</v>
      </c>
      <c r="D84" s="89">
        <v>0.26369999999999999</v>
      </c>
      <c r="E84" s="82">
        <f t="shared" si="3"/>
        <v>6990.4674999999997</v>
      </c>
      <c r="F84" s="89">
        <v>0.2387</v>
      </c>
      <c r="G84" s="82">
        <f t="shared" si="4"/>
        <v>7136.0924999999997</v>
      </c>
    </row>
    <row r="85" spans="3:7">
      <c r="C85" s="86" t="s">
        <v>386</v>
      </c>
      <c r="D85" s="89">
        <v>0.1419</v>
      </c>
      <c r="E85" s="82">
        <f t="shared" si="3"/>
        <v>6530.6724999999997</v>
      </c>
      <c r="F85" s="89">
        <v>0.1169</v>
      </c>
      <c r="G85" s="82">
        <f t="shared" si="4"/>
        <v>6676.2974999999997</v>
      </c>
    </row>
    <row r="86" spans="3:7">
      <c r="C86" s="86" t="s">
        <v>387</v>
      </c>
      <c r="D86" s="89">
        <v>0.2908</v>
      </c>
      <c r="E86" s="82">
        <f t="shared" si="3"/>
        <v>7092.77</v>
      </c>
      <c r="F86" s="89">
        <v>0.2908</v>
      </c>
      <c r="G86" s="82">
        <f t="shared" si="4"/>
        <v>7332.77</v>
      </c>
    </row>
    <row r="87" spans="3:7">
      <c r="C87" s="86" t="s">
        <v>388</v>
      </c>
      <c r="D87" s="89">
        <v>0.13789999999999999</v>
      </c>
      <c r="E87" s="82">
        <f t="shared" si="3"/>
        <v>6515.5725000000002</v>
      </c>
      <c r="F87" s="89">
        <v>0.13789999999999999</v>
      </c>
      <c r="G87" s="82">
        <f t="shared" si="4"/>
        <v>6755.5725000000002</v>
      </c>
    </row>
    <row r="88" spans="3:7">
      <c r="C88" s="86" t="s">
        <v>389</v>
      </c>
      <c r="D88" s="89">
        <v>0.1472</v>
      </c>
      <c r="E88" s="82">
        <f t="shared" si="3"/>
        <v>6550.68</v>
      </c>
      <c r="F88" s="89">
        <v>0.1472</v>
      </c>
      <c r="G88" s="82">
        <f t="shared" si="4"/>
        <v>6790.68</v>
      </c>
    </row>
    <row r="89" spans="3:7">
      <c r="C89" s="86" t="s">
        <v>390</v>
      </c>
      <c r="D89" s="89">
        <v>0.1012</v>
      </c>
      <c r="E89" s="82">
        <f t="shared" si="3"/>
        <v>6377.03</v>
      </c>
      <c r="F89" s="89">
        <v>0.1012</v>
      </c>
      <c r="G89" s="82">
        <f t="shared" si="4"/>
        <v>6617.03</v>
      </c>
    </row>
    <row r="90" spans="3:7">
      <c r="C90" s="86" t="s">
        <v>391</v>
      </c>
      <c r="D90" s="89">
        <v>0.1101</v>
      </c>
      <c r="E90" s="82">
        <f t="shared" si="3"/>
        <v>6410.6274999999996</v>
      </c>
      <c r="F90" s="89">
        <v>0.1101</v>
      </c>
      <c r="G90" s="82">
        <f t="shared" si="4"/>
        <v>6650.6274999999996</v>
      </c>
    </row>
    <row r="91" spans="3:7">
      <c r="C91" s="86" t="s">
        <v>392</v>
      </c>
      <c r="D91" s="89">
        <v>0.1226</v>
      </c>
      <c r="E91" s="82">
        <f t="shared" si="3"/>
        <v>6457.8149999999996</v>
      </c>
      <c r="F91" s="89">
        <v>0.1116</v>
      </c>
      <c r="G91" s="82">
        <f t="shared" si="4"/>
        <v>6656.29</v>
      </c>
    </row>
    <row r="92" spans="3:7">
      <c r="C92" s="86" t="s">
        <v>393</v>
      </c>
      <c r="D92" s="89">
        <v>8.7900000000000006E-2</v>
      </c>
      <c r="E92" s="82">
        <f t="shared" si="3"/>
        <v>6326.8225000000002</v>
      </c>
      <c r="F92" s="89">
        <v>8.7900000000000006E-2</v>
      </c>
      <c r="G92" s="82">
        <f t="shared" si="4"/>
        <v>6566.8225000000002</v>
      </c>
    </row>
    <row r="93" spans="3:7">
      <c r="C93" s="86" t="s">
        <v>394</v>
      </c>
      <c r="D93" s="89">
        <v>0.14269999999999999</v>
      </c>
      <c r="E93" s="82">
        <f t="shared" si="3"/>
        <v>6533.6925000000001</v>
      </c>
      <c r="F93" s="89">
        <v>0.12770000000000001</v>
      </c>
      <c r="G93" s="82">
        <f t="shared" si="4"/>
        <v>6717.0675000000001</v>
      </c>
    </row>
    <row r="94" spans="3:7">
      <c r="C94" s="86" t="s">
        <v>395</v>
      </c>
      <c r="D94" s="89">
        <v>0.58460000000000001</v>
      </c>
      <c r="E94" s="82">
        <f t="shared" si="3"/>
        <v>8201.8649999999998</v>
      </c>
      <c r="F94" s="89">
        <v>0.58460000000000001</v>
      </c>
      <c r="G94" s="82">
        <f t="shared" si="4"/>
        <v>8441.8649999999998</v>
      </c>
    </row>
    <row r="95" spans="3:7">
      <c r="C95" s="86" t="s">
        <v>396</v>
      </c>
      <c r="D95" s="89">
        <v>0.1216</v>
      </c>
      <c r="E95" s="82">
        <f t="shared" si="3"/>
        <v>6454.04</v>
      </c>
      <c r="F95" s="89">
        <v>9.6600000000000005E-2</v>
      </c>
      <c r="G95" s="82">
        <f t="shared" si="4"/>
        <v>6599.665</v>
      </c>
    </row>
    <row r="96" spans="3:7">
      <c r="C96" s="86" t="s">
        <v>397</v>
      </c>
      <c r="D96" s="89">
        <v>0.17150000000000001</v>
      </c>
      <c r="E96" s="82">
        <f t="shared" si="3"/>
        <v>6642.4125000000004</v>
      </c>
      <c r="F96" s="89">
        <v>0.1709</v>
      </c>
      <c r="G96" s="82">
        <f t="shared" si="4"/>
        <v>6880.1475</v>
      </c>
    </row>
    <row r="97" spans="3:7">
      <c r="C97" s="86" t="s">
        <v>398</v>
      </c>
      <c r="D97" s="89">
        <v>6.4000000000000001E-2</v>
      </c>
      <c r="E97" s="82">
        <f t="shared" si="3"/>
        <v>6236.6</v>
      </c>
      <c r="F97" s="89">
        <v>6.4000000000000001E-2</v>
      </c>
      <c r="G97" s="82">
        <f t="shared" si="4"/>
        <v>6476.6</v>
      </c>
    </row>
    <row r="98" spans="3:7">
      <c r="C98" s="86" t="s">
        <v>399</v>
      </c>
      <c r="D98" s="89">
        <v>0.17449999999999999</v>
      </c>
      <c r="E98" s="82">
        <f t="shared" si="3"/>
        <v>6653.7375000000002</v>
      </c>
      <c r="F98" s="89">
        <v>0.17449999999999999</v>
      </c>
      <c r="G98" s="82">
        <f t="shared" si="4"/>
        <v>6893.7375000000002</v>
      </c>
    </row>
    <row r="99" spans="3:7">
      <c r="C99" s="86" t="s">
        <v>400</v>
      </c>
      <c r="D99" s="89">
        <v>0.1191</v>
      </c>
      <c r="E99" s="82">
        <f t="shared" si="3"/>
        <v>6444.6025</v>
      </c>
      <c r="F99" s="89">
        <v>0.11799999999999999</v>
      </c>
      <c r="G99" s="82">
        <f t="shared" si="4"/>
        <v>6680.45</v>
      </c>
    </row>
    <row r="100" spans="3:7">
      <c r="C100" s="86" t="s">
        <v>401</v>
      </c>
      <c r="D100" s="89">
        <v>0.16719999999999999</v>
      </c>
      <c r="E100" s="82">
        <f t="shared" si="3"/>
        <v>6626.18</v>
      </c>
      <c r="F100" s="89">
        <v>0.16689999999999999</v>
      </c>
      <c r="G100" s="82">
        <f t="shared" si="4"/>
        <v>6865.0474999999997</v>
      </c>
    </row>
    <row r="101" spans="3:7">
      <c r="C101" s="86" t="s">
        <v>402</v>
      </c>
      <c r="D101" s="89">
        <v>0.15379999999999999</v>
      </c>
      <c r="E101" s="82">
        <f t="shared" si="3"/>
        <v>6575.5950000000003</v>
      </c>
      <c r="F101" s="89">
        <v>0.15379999999999999</v>
      </c>
      <c r="G101" s="82">
        <f t="shared" si="4"/>
        <v>6815.5950000000003</v>
      </c>
    </row>
    <row r="102" spans="3:7">
      <c r="C102" s="86" t="s">
        <v>403</v>
      </c>
      <c r="D102" s="89">
        <v>0.1943</v>
      </c>
      <c r="E102" s="82">
        <f t="shared" si="3"/>
        <v>6728.4825000000001</v>
      </c>
      <c r="F102" s="89">
        <v>0.17929999999999999</v>
      </c>
      <c r="G102" s="82">
        <f t="shared" si="4"/>
        <v>6911.8575000000001</v>
      </c>
    </row>
    <row r="103" spans="3:7">
      <c r="C103" s="87" t="s">
        <v>404</v>
      </c>
      <c r="D103" s="89">
        <v>9.2799999999999994E-2</v>
      </c>
      <c r="E103" s="82">
        <f t="shared" si="3"/>
        <v>6345.32</v>
      </c>
      <c r="F103" s="89">
        <v>9.2799999999999994E-2</v>
      </c>
      <c r="G103" s="82">
        <f t="shared" si="4"/>
        <v>6585.32</v>
      </c>
    </row>
    <row r="104" spans="3:7">
      <c r="C104" s="86" t="s">
        <v>405</v>
      </c>
      <c r="D104" s="89">
        <v>9.7299999999999998E-2</v>
      </c>
      <c r="E104" s="82">
        <f t="shared" si="3"/>
        <v>6362.3074999999999</v>
      </c>
      <c r="F104" s="89">
        <v>9.7299999999999998E-2</v>
      </c>
      <c r="G104" s="82">
        <f t="shared" si="4"/>
        <v>6602.3074999999999</v>
      </c>
    </row>
    <row r="105" spans="3:7">
      <c r="C105" s="86" t="s">
        <v>406</v>
      </c>
      <c r="D105" s="89">
        <v>3.1600000000000003E-2</v>
      </c>
      <c r="E105" s="82">
        <f t="shared" si="3"/>
        <v>6114.29</v>
      </c>
      <c r="F105" s="89">
        <v>3.1600000000000003E-2</v>
      </c>
      <c r="G105" s="82">
        <f t="shared" si="4"/>
        <v>6354.29</v>
      </c>
    </row>
    <row r="106" spans="3:7">
      <c r="C106" s="88" t="s">
        <v>407</v>
      </c>
      <c r="D106" s="89">
        <v>7.2499999999999995E-2</v>
      </c>
      <c r="E106" s="82">
        <f t="shared" si="3"/>
        <v>6268.6875</v>
      </c>
      <c r="F106" s="89">
        <v>7.2499999999999995E-2</v>
      </c>
      <c r="G106" s="82">
        <f t="shared" si="4"/>
        <v>6508.6875</v>
      </c>
    </row>
    <row r="107" spans="3:7">
      <c r="C107" s="86" t="s">
        <v>408</v>
      </c>
      <c r="D107" s="89">
        <v>0.15409999999999999</v>
      </c>
      <c r="E107" s="82">
        <f t="shared" si="3"/>
        <v>6576.7275</v>
      </c>
      <c r="F107" s="89">
        <v>0.15409999999999999</v>
      </c>
      <c r="G107" s="82">
        <f t="shared" si="4"/>
        <v>6816.7275</v>
      </c>
    </row>
    <row r="108" spans="3:7">
      <c r="C108" s="86" t="s">
        <v>409</v>
      </c>
      <c r="D108" s="89">
        <v>0.38819999999999999</v>
      </c>
      <c r="E108" s="82">
        <f t="shared" si="3"/>
        <v>7460.4549999999999</v>
      </c>
      <c r="F108" s="89">
        <v>0.38819999999999999</v>
      </c>
      <c r="G108" s="82">
        <f t="shared" si="4"/>
        <v>7700.4549999999999</v>
      </c>
    </row>
    <row r="109" spans="3:7">
      <c r="C109" s="87" t="s">
        <v>410</v>
      </c>
      <c r="D109" s="89">
        <v>0.14530000000000001</v>
      </c>
      <c r="E109" s="82">
        <f t="shared" si="3"/>
        <v>6543.5074999999997</v>
      </c>
      <c r="F109" s="89">
        <v>0.13539999999999999</v>
      </c>
      <c r="G109" s="82">
        <f t="shared" si="4"/>
        <v>6746.1350000000002</v>
      </c>
    </row>
    <row r="110" spans="3:7">
      <c r="C110" s="86" t="s">
        <v>411</v>
      </c>
      <c r="D110" s="89">
        <v>0.1608</v>
      </c>
      <c r="E110" s="82">
        <f t="shared" si="3"/>
        <v>6602.02</v>
      </c>
      <c r="F110" s="89">
        <v>0.1381</v>
      </c>
      <c r="G110" s="82">
        <f t="shared" si="4"/>
        <v>6756.3275000000003</v>
      </c>
    </row>
    <row r="111" spans="3:7">
      <c r="C111" s="86" t="s">
        <v>412</v>
      </c>
      <c r="D111" s="89">
        <v>0.21010000000000001</v>
      </c>
      <c r="E111" s="82">
        <f t="shared" si="3"/>
        <v>6788.1275000000005</v>
      </c>
      <c r="F111" s="89">
        <v>0.18509999999999999</v>
      </c>
      <c r="G111" s="82">
        <f t="shared" si="4"/>
        <v>6933.7524999999996</v>
      </c>
    </row>
    <row r="112" spans="3:7">
      <c r="C112" s="86" t="s">
        <v>413</v>
      </c>
      <c r="D112" s="89">
        <v>0.104</v>
      </c>
      <c r="E112" s="82">
        <f t="shared" si="3"/>
        <v>6387.6</v>
      </c>
      <c r="F112" s="89">
        <v>0.104</v>
      </c>
      <c r="G112" s="82">
        <f t="shared" si="4"/>
        <v>6627.6</v>
      </c>
    </row>
    <row r="113" spans="3:7">
      <c r="C113" s="86" t="s">
        <v>414</v>
      </c>
      <c r="D113" s="89">
        <v>0.13270000000000001</v>
      </c>
      <c r="E113" s="82">
        <f t="shared" si="3"/>
        <v>6495.9425000000001</v>
      </c>
      <c r="F113" s="89">
        <v>0.13270000000000001</v>
      </c>
      <c r="G113" s="82">
        <f t="shared" si="4"/>
        <v>6735.9425000000001</v>
      </c>
    </row>
    <row r="114" spans="3:7">
      <c r="C114" s="86" t="s">
        <v>415</v>
      </c>
      <c r="D114" s="89">
        <v>0.24410000000000001</v>
      </c>
      <c r="E114" s="82">
        <f t="shared" si="3"/>
        <v>6916.4775</v>
      </c>
      <c r="F114" s="89">
        <v>0.21920000000000001</v>
      </c>
      <c r="G114" s="82">
        <f t="shared" si="4"/>
        <v>7062.48</v>
      </c>
    </row>
    <row r="115" spans="3:7">
      <c r="C115" s="86" t="s">
        <v>416</v>
      </c>
      <c r="D115" s="89">
        <v>0.35439999999999999</v>
      </c>
      <c r="E115" s="82">
        <f t="shared" si="3"/>
        <v>7332.86</v>
      </c>
      <c r="F115" s="89">
        <v>0.33040000000000003</v>
      </c>
      <c r="G115" s="82">
        <f t="shared" si="4"/>
        <v>7482.26</v>
      </c>
    </row>
    <row r="116" spans="3:7">
      <c r="C116" s="86" t="s">
        <v>417</v>
      </c>
      <c r="D116" s="89">
        <v>0.2868</v>
      </c>
      <c r="E116" s="82">
        <f t="shared" si="3"/>
        <v>7077.67</v>
      </c>
      <c r="F116" s="89">
        <v>0.27329999999999999</v>
      </c>
      <c r="G116" s="82">
        <f t="shared" si="4"/>
        <v>7266.7075000000004</v>
      </c>
    </row>
    <row r="117" spans="3:7">
      <c r="C117" s="88" t="s">
        <v>418</v>
      </c>
      <c r="D117" s="89">
        <v>6.0499999999999998E-2</v>
      </c>
      <c r="E117" s="82">
        <f t="shared" si="3"/>
        <v>6223.3874999999998</v>
      </c>
      <c r="F117" s="89">
        <v>6.0499999999999998E-2</v>
      </c>
      <c r="G117" s="82">
        <f t="shared" si="4"/>
        <v>6463.3874999999998</v>
      </c>
    </row>
    <row r="118" spans="3:7">
      <c r="C118" s="88" t="s">
        <v>419</v>
      </c>
      <c r="D118" s="89">
        <v>0.4819</v>
      </c>
      <c r="E118" s="82">
        <f t="shared" si="3"/>
        <v>7814.1724999999997</v>
      </c>
      <c r="F118" s="89">
        <v>0.45689999999999997</v>
      </c>
      <c r="G118" s="82">
        <f t="shared" si="4"/>
        <v>7959.7974999999997</v>
      </c>
    </row>
    <row r="119" spans="3:7">
      <c r="C119" s="88" t="s">
        <v>420</v>
      </c>
      <c r="D119" s="89">
        <v>0.35749999999999998</v>
      </c>
      <c r="E119" s="82">
        <f t="shared" si="3"/>
        <v>7344.5625</v>
      </c>
      <c r="F119" s="89">
        <v>0.33250000000000002</v>
      </c>
      <c r="G119" s="82">
        <f t="shared" si="4"/>
        <v>7490.1875</v>
      </c>
    </row>
    <row r="120" spans="3:7">
      <c r="C120" s="88" t="s">
        <v>421</v>
      </c>
      <c r="D120" s="89">
        <v>0.12559999999999999</v>
      </c>
      <c r="E120" s="82">
        <f t="shared" si="3"/>
        <v>6469.14</v>
      </c>
      <c r="F120" s="89">
        <v>0.12559999999999999</v>
      </c>
      <c r="G120" s="82">
        <f t="shared" si="4"/>
        <v>6709.14</v>
      </c>
    </row>
    <row r="121" spans="3:7">
      <c r="C121" s="86" t="s">
        <v>422</v>
      </c>
      <c r="D121" s="89">
        <v>5.6099999999999997E-2</v>
      </c>
      <c r="E121" s="82">
        <f t="shared" si="3"/>
        <v>6206.7775000000001</v>
      </c>
      <c r="F121" s="89">
        <v>5.6099999999999997E-2</v>
      </c>
      <c r="G121" s="82">
        <f t="shared" si="4"/>
        <v>6446.7775000000001</v>
      </c>
    </row>
    <row r="122" spans="3:7">
      <c r="C122" s="86" t="s">
        <v>423</v>
      </c>
      <c r="D122" s="89">
        <v>0.21579999999999999</v>
      </c>
      <c r="E122" s="82">
        <f t="shared" si="3"/>
        <v>6809.6450000000004</v>
      </c>
      <c r="F122" s="89">
        <v>0.1951</v>
      </c>
      <c r="G122" s="82">
        <f t="shared" si="4"/>
        <v>6971.5024999999996</v>
      </c>
    </row>
    <row r="123" spans="3:7">
      <c r="C123" s="86" t="s">
        <v>424</v>
      </c>
      <c r="D123" s="89">
        <v>0.17860000000000001</v>
      </c>
      <c r="E123" s="82">
        <f t="shared" si="3"/>
        <v>6669.2150000000001</v>
      </c>
      <c r="F123" s="89">
        <v>0.16250000000000001</v>
      </c>
      <c r="G123" s="82">
        <f t="shared" si="4"/>
        <v>6848.4375</v>
      </c>
    </row>
    <row r="124" spans="3:7">
      <c r="C124" s="86" t="s">
        <v>425</v>
      </c>
      <c r="D124" s="89">
        <v>0.1363</v>
      </c>
      <c r="E124" s="82">
        <f t="shared" si="3"/>
        <v>6509.5325000000003</v>
      </c>
      <c r="F124" s="89">
        <v>0.121</v>
      </c>
      <c r="G124" s="82">
        <f t="shared" si="4"/>
        <v>6691.7749999999996</v>
      </c>
    </row>
    <row r="125" spans="3:7">
      <c r="C125" s="86" t="s">
        <v>426</v>
      </c>
      <c r="D125" s="89">
        <v>0.1386</v>
      </c>
      <c r="E125" s="82">
        <f t="shared" si="3"/>
        <v>6518.2150000000001</v>
      </c>
      <c r="F125" s="89">
        <v>0.1221</v>
      </c>
      <c r="G125" s="82">
        <f t="shared" si="4"/>
        <v>6695.9274999999998</v>
      </c>
    </row>
    <row r="126" spans="3:7">
      <c r="C126" s="86" t="s">
        <v>427</v>
      </c>
      <c r="D126" s="89">
        <v>0.2288</v>
      </c>
      <c r="E126" s="82">
        <f t="shared" si="3"/>
        <v>6858.72</v>
      </c>
      <c r="F126" s="89">
        <v>0.2288</v>
      </c>
      <c r="G126" s="82">
        <f t="shared" si="4"/>
        <v>7098.72</v>
      </c>
    </row>
    <row r="127" spans="3:7">
      <c r="C127" s="86" t="s">
        <v>428</v>
      </c>
      <c r="D127" s="89">
        <v>0.17280000000000001</v>
      </c>
      <c r="E127" s="82">
        <f t="shared" si="3"/>
        <v>6647.32</v>
      </c>
      <c r="F127" s="89">
        <v>0.17280000000000001</v>
      </c>
      <c r="G127" s="82">
        <f t="shared" si="4"/>
        <v>6887.32</v>
      </c>
    </row>
    <row r="128" spans="3:7">
      <c r="C128" s="86" t="s">
        <v>429</v>
      </c>
      <c r="D128" s="89">
        <v>0.21540000000000001</v>
      </c>
      <c r="E128" s="82">
        <f t="shared" si="3"/>
        <v>6808.1350000000002</v>
      </c>
      <c r="F128" s="89">
        <v>0.19040000000000001</v>
      </c>
      <c r="G128" s="82">
        <f t="shared" si="4"/>
        <v>6953.76</v>
      </c>
    </row>
    <row r="129" spans="3:7">
      <c r="C129" s="87" t="s">
        <v>430</v>
      </c>
      <c r="D129" s="89">
        <v>0.1205</v>
      </c>
      <c r="E129" s="82">
        <f t="shared" si="3"/>
        <v>6449.8874999999998</v>
      </c>
      <c r="F129" s="89">
        <v>0.109</v>
      </c>
      <c r="G129" s="82">
        <f t="shared" si="4"/>
        <v>6646.4750000000004</v>
      </c>
    </row>
    <row r="130" spans="3:7">
      <c r="C130" s="86" t="s">
        <v>431</v>
      </c>
      <c r="D130" s="89">
        <v>0.1384</v>
      </c>
      <c r="E130" s="82">
        <f t="shared" si="3"/>
        <v>6517.46</v>
      </c>
      <c r="F130" s="89">
        <v>0.1275</v>
      </c>
      <c r="G130" s="82">
        <f t="shared" si="4"/>
        <v>6716.3125</v>
      </c>
    </row>
    <row r="131" spans="3:7">
      <c r="C131" s="86" t="s">
        <v>432</v>
      </c>
      <c r="D131" s="89">
        <v>0.1066</v>
      </c>
      <c r="E131" s="82">
        <f t="shared" si="3"/>
        <v>6397.415</v>
      </c>
      <c r="F131" s="89">
        <v>0.1066</v>
      </c>
      <c r="G131" s="82">
        <f t="shared" si="4"/>
        <v>6637.415</v>
      </c>
    </row>
    <row r="132" spans="3:7">
      <c r="C132" s="86" t="s">
        <v>433</v>
      </c>
      <c r="D132" s="89">
        <v>0.24709999999999999</v>
      </c>
      <c r="E132" s="82">
        <f t="shared" si="3"/>
        <v>6927.8024999999998</v>
      </c>
      <c r="F132" s="89">
        <v>0.24709999999999999</v>
      </c>
      <c r="G132" s="82">
        <f t="shared" si="4"/>
        <v>7167.8024999999998</v>
      </c>
    </row>
    <row r="133" spans="3:7">
      <c r="C133" s="86" t="s">
        <v>434</v>
      </c>
      <c r="D133" s="89">
        <v>0.2379</v>
      </c>
      <c r="E133" s="82">
        <f t="shared" si="3"/>
        <v>6893.0725000000002</v>
      </c>
      <c r="F133" s="89">
        <v>0.23319999999999999</v>
      </c>
      <c r="G133" s="82">
        <f t="shared" si="4"/>
        <v>7115.33</v>
      </c>
    </row>
    <row r="134" spans="3:7">
      <c r="C134" s="86" t="s">
        <v>435</v>
      </c>
      <c r="D134" s="89">
        <v>0.18720000000000001</v>
      </c>
      <c r="E134" s="82">
        <f t="shared" si="3"/>
        <v>6701.68</v>
      </c>
      <c r="F134" s="89">
        <v>0.18720000000000001</v>
      </c>
      <c r="G134" s="82">
        <f t="shared" si="4"/>
        <v>6941.68</v>
      </c>
    </row>
    <row r="135" spans="3:7">
      <c r="C135" s="86" t="s">
        <v>436</v>
      </c>
      <c r="D135" s="89">
        <v>0.19900000000000001</v>
      </c>
      <c r="E135" s="82">
        <f t="shared" si="3"/>
        <v>6746.2250000000004</v>
      </c>
      <c r="F135" s="89">
        <v>0.1988</v>
      </c>
      <c r="G135" s="82">
        <f t="shared" si="4"/>
        <v>6985.47</v>
      </c>
    </row>
    <row r="136" spans="3:7">
      <c r="C136" s="86" t="s">
        <v>437</v>
      </c>
      <c r="D136" s="89">
        <v>0.11210000000000001</v>
      </c>
      <c r="E136" s="82">
        <f t="shared" si="3"/>
        <v>6418.1774999999998</v>
      </c>
      <c r="F136" s="89">
        <v>0.11210000000000001</v>
      </c>
      <c r="G136" s="82">
        <f t="shared" si="4"/>
        <v>6658.1774999999998</v>
      </c>
    </row>
    <row r="137" spans="3:7">
      <c r="C137" s="86" t="s">
        <v>438</v>
      </c>
      <c r="D137" s="89">
        <v>0.15310000000000001</v>
      </c>
      <c r="E137" s="82">
        <f t="shared" si="3"/>
        <v>6572.9525000000003</v>
      </c>
      <c r="F137" s="89">
        <v>0.14929999999999999</v>
      </c>
      <c r="G137" s="82">
        <f t="shared" si="4"/>
        <v>6798.6075000000001</v>
      </c>
    </row>
    <row r="138" spans="3:7">
      <c r="C138" s="86" t="s">
        <v>439</v>
      </c>
      <c r="D138" s="89">
        <v>0.24410000000000001</v>
      </c>
      <c r="E138" s="82">
        <f t="shared" si="3"/>
        <v>6916.4775</v>
      </c>
      <c r="F138" s="89">
        <v>0.23150000000000001</v>
      </c>
      <c r="G138" s="82">
        <f t="shared" si="4"/>
        <v>7108.9125000000004</v>
      </c>
    </row>
    <row r="139" spans="3:7">
      <c r="C139" s="86" t="s">
        <v>440</v>
      </c>
      <c r="D139" s="89">
        <v>0.2364</v>
      </c>
      <c r="E139" s="82">
        <f t="shared" si="3"/>
        <v>6887.41</v>
      </c>
      <c r="F139" s="89">
        <v>0.22639999999999999</v>
      </c>
      <c r="G139" s="82">
        <f t="shared" si="4"/>
        <v>7089.66</v>
      </c>
    </row>
    <row r="140" spans="3:7">
      <c r="C140" s="86" t="s">
        <v>441</v>
      </c>
      <c r="D140" s="89">
        <v>0.24160000000000001</v>
      </c>
      <c r="E140" s="82">
        <f t="shared" si="3"/>
        <v>6907.04</v>
      </c>
      <c r="F140" s="89">
        <v>0.24160000000000001</v>
      </c>
      <c r="G140" s="82">
        <f t="shared" si="4"/>
        <v>7147.04</v>
      </c>
    </row>
    <row r="141" spans="3:7">
      <c r="C141" s="86" t="s">
        <v>442</v>
      </c>
      <c r="D141" s="89">
        <v>4.87E-2</v>
      </c>
      <c r="E141" s="82">
        <f t="shared" si="3"/>
        <v>6178.8424999999997</v>
      </c>
      <c r="F141" s="89">
        <v>4.87E-2</v>
      </c>
      <c r="G141" s="82">
        <f t="shared" si="4"/>
        <v>6418.8424999999997</v>
      </c>
    </row>
    <row r="142" spans="3:7">
      <c r="C142" s="86" t="s">
        <v>443</v>
      </c>
      <c r="D142" s="89">
        <v>0.14119999999999999</v>
      </c>
      <c r="E142" s="82">
        <f t="shared" si="3"/>
        <v>6528.03</v>
      </c>
      <c r="F142" s="89">
        <v>0.14119999999999999</v>
      </c>
      <c r="G142" s="82">
        <f t="shared" si="4"/>
        <v>6768.03</v>
      </c>
    </row>
    <row r="143" spans="3:7">
      <c r="C143" s="86" t="s">
        <v>444</v>
      </c>
      <c r="D143" s="89">
        <v>0.161</v>
      </c>
      <c r="E143" s="82">
        <f t="shared" si="3"/>
        <v>6602.7749999999996</v>
      </c>
      <c r="F143" s="89">
        <v>0.1517</v>
      </c>
      <c r="G143" s="82">
        <f t="shared" si="4"/>
        <v>6807.6674999999996</v>
      </c>
    </row>
    <row r="144" spans="3:7">
      <c r="C144" s="86" t="s">
        <v>445</v>
      </c>
      <c r="D144" s="89">
        <v>0.14230000000000001</v>
      </c>
      <c r="E144" s="82">
        <f t="shared" si="3"/>
        <v>6532.1824999999999</v>
      </c>
      <c r="F144" s="89">
        <v>0.1173</v>
      </c>
      <c r="G144" s="82">
        <f t="shared" si="4"/>
        <v>6677.8074999999999</v>
      </c>
    </row>
    <row r="145" spans="3:7">
      <c r="C145" s="86" t="s">
        <v>446</v>
      </c>
      <c r="D145" s="89">
        <v>0.3236</v>
      </c>
      <c r="E145" s="82">
        <f t="shared" ref="E145:E208" si="5">(D145*$J$19)+$J$18</f>
        <v>7216.59</v>
      </c>
      <c r="F145" s="89">
        <v>0.30080000000000001</v>
      </c>
      <c r="G145" s="82">
        <f t="shared" si="4"/>
        <v>7370.52</v>
      </c>
    </row>
    <row r="146" spans="3:7">
      <c r="C146" s="86" t="s">
        <v>447</v>
      </c>
      <c r="D146" s="89">
        <v>0.2162</v>
      </c>
      <c r="E146" s="82">
        <f t="shared" si="5"/>
        <v>6811.1549999999997</v>
      </c>
      <c r="F146" s="89">
        <v>0.2021</v>
      </c>
      <c r="G146" s="82">
        <f t="shared" si="4"/>
        <v>6997.9274999999998</v>
      </c>
    </row>
    <row r="147" spans="3:7">
      <c r="C147" s="86" t="s">
        <v>448</v>
      </c>
      <c r="D147" s="89">
        <v>0.29970000000000002</v>
      </c>
      <c r="E147" s="82">
        <f t="shared" si="5"/>
        <v>7126.3675000000003</v>
      </c>
      <c r="F147" s="89">
        <v>0.2747</v>
      </c>
      <c r="G147" s="82">
        <f t="shared" ref="G147:G210" si="6">(F147*$K$19)+$K$18</f>
        <v>7271.9925000000003</v>
      </c>
    </row>
    <row r="148" spans="3:7">
      <c r="C148" s="86" t="s">
        <v>449</v>
      </c>
      <c r="D148" s="89">
        <v>0.21190000000000001</v>
      </c>
      <c r="E148" s="82">
        <f t="shared" si="5"/>
        <v>6794.9224999999997</v>
      </c>
      <c r="F148" s="89">
        <v>0.2074</v>
      </c>
      <c r="G148" s="82">
        <f t="shared" si="6"/>
        <v>7017.9350000000004</v>
      </c>
    </row>
    <row r="149" spans="3:7">
      <c r="C149" s="86" t="s">
        <v>450</v>
      </c>
      <c r="D149" s="89">
        <v>0.19220000000000001</v>
      </c>
      <c r="E149" s="82">
        <f t="shared" si="5"/>
        <v>6720.5550000000003</v>
      </c>
      <c r="F149" s="89">
        <v>0.17119999999999999</v>
      </c>
      <c r="G149" s="82">
        <f t="shared" si="6"/>
        <v>6881.28</v>
      </c>
    </row>
    <row r="150" spans="3:7">
      <c r="C150" s="86" t="s">
        <v>451</v>
      </c>
      <c r="D150" s="89">
        <v>0.19420000000000001</v>
      </c>
      <c r="E150" s="82">
        <f t="shared" si="5"/>
        <v>6728.1049999999996</v>
      </c>
      <c r="F150" s="89">
        <v>0.19420000000000001</v>
      </c>
      <c r="G150" s="82">
        <f t="shared" si="6"/>
        <v>6968.1049999999996</v>
      </c>
    </row>
    <row r="151" spans="3:7">
      <c r="C151" s="86" t="s">
        <v>452</v>
      </c>
      <c r="D151" s="89">
        <v>0.13669999999999999</v>
      </c>
      <c r="E151" s="82">
        <f t="shared" si="5"/>
        <v>6511.0424999999996</v>
      </c>
      <c r="F151" s="89">
        <v>0.13669999999999999</v>
      </c>
      <c r="G151" s="82">
        <f t="shared" si="6"/>
        <v>6751.0424999999996</v>
      </c>
    </row>
    <row r="152" spans="3:7">
      <c r="C152" s="86" t="s">
        <v>453</v>
      </c>
      <c r="D152" s="89">
        <v>0.44230000000000003</v>
      </c>
      <c r="E152" s="82">
        <f t="shared" si="5"/>
        <v>7664.6824999999999</v>
      </c>
      <c r="F152" s="89">
        <v>0.4299</v>
      </c>
      <c r="G152" s="82">
        <f t="shared" si="6"/>
        <v>7857.8724999999995</v>
      </c>
    </row>
    <row r="153" spans="3:7">
      <c r="C153" s="86" t="s">
        <v>454</v>
      </c>
      <c r="D153" s="89">
        <v>0.3513</v>
      </c>
      <c r="E153" s="82">
        <f t="shared" si="5"/>
        <v>7321.1575000000003</v>
      </c>
      <c r="F153" s="89">
        <v>0.32629999999999998</v>
      </c>
      <c r="G153" s="82">
        <f t="shared" si="6"/>
        <v>7466.7825000000003</v>
      </c>
    </row>
    <row r="154" spans="3:7">
      <c r="C154" s="88" t="s">
        <v>455</v>
      </c>
      <c r="D154" s="89">
        <v>0.24540000000000001</v>
      </c>
      <c r="E154" s="82">
        <f t="shared" si="5"/>
        <v>6921.3850000000002</v>
      </c>
      <c r="F154" s="89">
        <v>0.24540000000000001</v>
      </c>
      <c r="G154" s="82">
        <f t="shared" si="6"/>
        <v>7161.3850000000002</v>
      </c>
    </row>
    <row r="155" spans="3:7">
      <c r="C155" s="86" t="s">
        <v>456</v>
      </c>
      <c r="D155" s="89">
        <v>0.41749999999999998</v>
      </c>
      <c r="E155" s="82">
        <f t="shared" si="5"/>
        <v>7571.0625</v>
      </c>
      <c r="F155" s="89">
        <v>0.39529999999999998</v>
      </c>
      <c r="G155" s="82">
        <f t="shared" si="6"/>
        <v>7727.2574999999997</v>
      </c>
    </row>
    <row r="156" spans="3:7">
      <c r="C156" s="86" t="s">
        <v>457</v>
      </c>
      <c r="D156" s="89">
        <v>4.0099999999999997E-2</v>
      </c>
      <c r="E156" s="82">
        <f t="shared" si="5"/>
        <v>6146.3774999999996</v>
      </c>
      <c r="F156" s="89">
        <v>3.9E-2</v>
      </c>
      <c r="G156" s="82">
        <f t="shared" si="6"/>
        <v>6382.2250000000004</v>
      </c>
    </row>
    <row r="157" spans="3:7">
      <c r="C157" s="86" t="s">
        <v>458</v>
      </c>
      <c r="D157" s="89">
        <v>0.15049999999999999</v>
      </c>
      <c r="E157" s="82">
        <f t="shared" si="5"/>
        <v>6563.1374999999998</v>
      </c>
      <c r="F157" s="89">
        <v>0.15049999999999999</v>
      </c>
      <c r="G157" s="82">
        <f t="shared" si="6"/>
        <v>6803.1374999999998</v>
      </c>
    </row>
    <row r="158" spans="3:7">
      <c r="C158" s="86" t="s">
        <v>459</v>
      </c>
      <c r="D158" s="89">
        <v>6.6000000000000003E-2</v>
      </c>
      <c r="E158" s="82">
        <f t="shared" si="5"/>
        <v>6244.15</v>
      </c>
      <c r="F158" s="89">
        <v>6.6000000000000003E-2</v>
      </c>
      <c r="G158" s="82">
        <f t="shared" si="6"/>
        <v>6484.15</v>
      </c>
    </row>
    <row r="159" spans="3:7">
      <c r="C159" s="86" t="s">
        <v>460</v>
      </c>
      <c r="D159" s="89">
        <v>0.26910000000000001</v>
      </c>
      <c r="E159" s="82">
        <f t="shared" si="5"/>
        <v>7010.8525</v>
      </c>
      <c r="F159" s="89">
        <v>0.26140000000000002</v>
      </c>
      <c r="G159" s="82">
        <f t="shared" si="6"/>
        <v>7221.7849999999999</v>
      </c>
    </row>
    <row r="160" spans="3:7">
      <c r="C160" s="86" t="s">
        <v>461</v>
      </c>
      <c r="D160" s="89">
        <v>0.2112</v>
      </c>
      <c r="E160" s="82">
        <f t="shared" si="5"/>
        <v>6792.28</v>
      </c>
      <c r="F160" s="89">
        <v>0.2112</v>
      </c>
      <c r="G160" s="82">
        <f t="shared" si="6"/>
        <v>7032.28</v>
      </c>
    </row>
    <row r="161" spans="3:7">
      <c r="C161" s="86" t="s">
        <v>462</v>
      </c>
      <c r="D161" s="89">
        <v>0.18759999999999999</v>
      </c>
      <c r="E161" s="82">
        <f t="shared" si="5"/>
        <v>6703.19</v>
      </c>
      <c r="F161" s="89">
        <v>0.16259999999999999</v>
      </c>
      <c r="G161" s="82">
        <f t="shared" si="6"/>
        <v>6848.8149999999996</v>
      </c>
    </row>
    <row r="162" spans="3:7">
      <c r="C162" s="86" t="s">
        <v>463</v>
      </c>
      <c r="D162" s="89">
        <v>0.15160000000000001</v>
      </c>
      <c r="E162" s="82">
        <f t="shared" si="5"/>
        <v>6567.29</v>
      </c>
      <c r="F162" s="89">
        <v>0.15160000000000001</v>
      </c>
      <c r="G162" s="82">
        <f t="shared" si="6"/>
        <v>6807.29</v>
      </c>
    </row>
    <row r="163" spans="3:7">
      <c r="C163" s="86" t="s">
        <v>464</v>
      </c>
      <c r="D163" s="89">
        <v>0.11559999999999999</v>
      </c>
      <c r="E163" s="82">
        <f t="shared" si="5"/>
        <v>6431.39</v>
      </c>
      <c r="F163" s="89">
        <v>0.11559999999999999</v>
      </c>
      <c r="G163" s="82">
        <f t="shared" si="6"/>
        <v>6671.39</v>
      </c>
    </row>
    <row r="164" spans="3:7">
      <c r="C164" s="86" t="s">
        <v>465</v>
      </c>
      <c r="D164" s="89">
        <v>0.13819999999999999</v>
      </c>
      <c r="E164" s="82">
        <f t="shared" si="5"/>
        <v>6516.7049999999999</v>
      </c>
      <c r="F164" s="89">
        <v>0.13819999999999999</v>
      </c>
      <c r="G164" s="82">
        <f t="shared" si="6"/>
        <v>6756.7049999999999</v>
      </c>
    </row>
    <row r="165" spans="3:7">
      <c r="C165" s="86" t="s">
        <v>466</v>
      </c>
      <c r="D165" s="89">
        <v>7.4099999999999999E-2</v>
      </c>
      <c r="E165" s="82">
        <f t="shared" si="5"/>
        <v>6274.7275</v>
      </c>
      <c r="F165" s="89">
        <v>7.4099999999999999E-2</v>
      </c>
      <c r="G165" s="82">
        <f t="shared" si="6"/>
        <v>6514.7275</v>
      </c>
    </row>
    <row r="166" spans="3:7">
      <c r="C166" s="86" t="s">
        <v>467</v>
      </c>
      <c r="D166" s="89">
        <v>0.45600000000000002</v>
      </c>
      <c r="E166" s="82">
        <f t="shared" si="5"/>
        <v>7716.4</v>
      </c>
      <c r="F166" s="89">
        <v>0.4375</v>
      </c>
      <c r="G166" s="82">
        <f t="shared" si="6"/>
        <v>7886.5625</v>
      </c>
    </row>
    <row r="167" spans="3:7">
      <c r="C167" s="86" t="s">
        <v>468</v>
      </c>
      <c r="D167" s="89">
        <v>0.1227</v>
      </c>
      <c r="E167" s="82">
        <f t="shared" si="5"/>
        <v>6458.1925000000001</v>
      </c>
      <c r="F167" s="89">
        <v>0.1193</v>
      </c>
      <c r="G167" s="82">
        <f t="shared" si="6"/>
        <v>6685.3575000000001</v>
      </c>
    </row>
    <row r="168" spans="3:7">
      <c r="C168" s="86" t="s">
        <v>469</v>
      </c>
      <c r="D168" s="89">
        <v>0.16589999999999999</v>
      </c>
      <c r="E168" s="82">
        <f t="shared" si="5"/>
        <v>6621.2725</v>
      </c>
      <c r="F168" s="89">
        <v>0.1648</v>
      </c>
      <c r="G168" s="82">
        <f t="shared" si="6"/>
        <v>6857.12</v>
      </c>
    </row>
    <row r="169" spans="3:7">
      <c r="C169" s="86" t="s">
        <v>470</v>
      </c>
      <c r="D169" s="89">
        <v>0.26800000000000002</v>
      </c>
      <c r="E169" s="82">
        <f t="shared" si="5"/>
        <v>7006.7</v>
      </c>
      <c r="F169" s="89">
        <v>0.2545</v>
      </c>
      <c r="G169" s="82">
        <f t="shared" si="6"/>
        <v>7195.7375000000002</v>
      </c>
    </row>
    <row r="170" spans="3:7">
      <c r="C170" s="86" t="s">
        <v>471</v>
      </c>
      <c r="D170" s="89">
        <v>0.10580000000000001</v>
      </c>
      <c r="E170" s="82">
        <f t="shared" si="5"/>
        <v>6394.3950000000004</v>
      </c>
      <c r="F170" s="89">
        <v>8.9800000000000005E-2</v>
      </c>
      <c r="G170" s="82">
        <f t="shared" si="6"/>
        <v>6573.9949999999999</v>
      </c>
    </row>
    <row r="171" spans="3:7">
      <c r="C171" s="86" t="s">
        <v>472</v>
      </c>
      <c r="D171" s="89">
        <v>9.3200000000000005E-2</v>
      </c>
      <c r="E171" s="82">
        <f t="shared" si="5"/>
        <v>6346.83</v>
      </c>
      <c r="F171" s="89">
        <v>9.3200000000000005E-2</v>
      </c>
      <c r="G171" s="82">
        <f t="shared" si="6"/>
        <v>6586.83</v>
      </c>
    </row>
    <row r="172" spans="3:7">
      <c r="C172" s="86" t="s">
        <v>473</v>
      </c>
      <c r="D172" s="89">
        <v>6.6400000000000001E-2</v>
      </c>
      <c r="E172" s="82">
        <f t="shared" si="5"/>
        <v>6245.66</v>
      </c>
      <c r="F172" s="89">
        <v>6.6400000000000001E-2</v>
      </c>
      <c r="G172" s="82">
        <f t="shared" si="6"/>
        <v>6485.66</v>
      </c>
    </row>
    <row r="173" spans="3:7">
      <c r="C173" s="86" t="s">
        <v>474</v>
      </c>
      <c r="D173" s="89">
        <v>0.185</v>
      </c>
      <c r="E173" s="82">
        <f t="shared" si="5"/>
        <v>6693.375</v>
      </c>
      <c r="F173" s="89">
        <v>0.185</v>
      </c>
      <c r="G173" s="82">
        <f t="shared" si="6"/>
        <v>6933.375</v>
      </c>
    </row>
    <row r="174" spans="3:7">
      <c r="C174" s="86" t="s">
        <v>475</v>
      </c>
      <c r="D174" s="89">
        <v>0.23499999999999999</v>
      </c>
      <c r="E174" s="82">
        <f t="shared" si="5"/>
        <v>6882.125</v>
      </c>
      <c r="F174" s="89">
        <v>0.2258</v>
      </c>
      <c r="G174" s="82">
        <f t="shared" si="6"/>
        <v>7087.3950000000004</v>
      </c>
    </row>
    <row r="175" spans="3:7">
      <c r="C175" s="86" t="s">
        <v>476</v>
      </c>
      <c r="D175" s="89">
        <v>0.12529999999999999</v>
      </c>
      <c r="E175" s="82">
        <f t="shared" si="5"/>
        <v>6468.0074999999997</v>
      </c>
      <c r="F175" s="89">
        <v>0.12529999999999999</v>
      </c>
      <c r="G175" s="82">
        <f t="shared" si="6"/>
        <v>6708.0074999999997</v>
      </c>
    </row>
    <row r="176" spans="3:7">
      <c r="C176" s="86" t="s">
        <v>477</v>
      </c>
      <c r="D176" s="89">
        <v>0.22720000000000001</v>
      </c>
      <c r="E176" s="82">
        <f t="shared" si="5"/>
        <v>6852.68</v>
      </c>
      <c r="F176" s="89">
        <v>0.20979999999999999</v>
      </c>
      <c r="G176" s="82">
        <f t="shared" si="6"/>
        <v>7026.9949999999999</v>
      </c>
    </row>
    <row r="177" spans="3:7">
      <c r="C177" s="86" t="s">
        <v>478</v>
      </c>
      <c r="D177" s="89">
        <v>0.14610000000000001</v>
      </c>
      <c r="E177" s="82">
        <f t="shared" si="5"/>
        <v>6546.5275000000001</v>
      </c>
      <c r="F177" s="89">
        <v>0.12820000000000001</v>
      </c>
      <c r="G177" s="82">
        <f t="shared" si="6"/>
        <v>6718.9549999999999</v>
      </c>
    </row>
    <row r="178" spans="3:7">
      <c r="C178" s="86" t="s">
        <v>479</v>
      </c>
      <c r="D178" s="89">
        <v>0.27189999999999998</v>
      </c>
      <c r="E178" s="82">
        <f t="shared" si="5"/>
        <v>7021.4224999999997</v>
      </c>
      <c r="F178" s="89">
        <v>0.27189999999999998</v>
      </c>
      <c r="G178" s="82">
        <f t="shared" si="6"/>
        <v>7261.4224999999997</v>
      </c>
    </row>
    <row r="179" spans="3:7">
      <c r="C179" s="86" t="s">
        <v>480</v>
      </c>
      <c r="D179" s="89">
        <v>0.24390000000000001</v>
      </c>
      <c r="E179" s="82">
        <f t="shared" si="5"/>
        <v>6915.7224999999999</v>
      </c>
      <c r="F179" s="89">
        <v>0.21890000000000001</v>
      </c>
      <c r="G179" s="82">
        <f t="shared" si="6"/>
        <v>7061.3474999999999</v>
      </c>
    </row>
    <row r="180" spans="3:7">
      <c r="C180" s="86" t="s">
        <v>481</v>
      </c>
      <c r="D180" s="89">
        <v>0.16420000000000001</v>
      </c>
      <c r="E180" s="82">
        <f t="shared" si="5"/>
        <v>6614.8549999999996</v>
      </c>
      <c r="F180" s="89">
        <v>0.16320000000000001</v>
      </c>
      <c r="G180" s="82">
        <f t="shared" si="6"/>
        <v>6851.08</v>
      </c>
    </row>
    <row r="181" spans="3:7">
      <c r="C181" s="87" t="s">
        <v>482</v>
      </c>
      <c r="D181" s="89">
        <v>0.1072</v>
      </c>
      <c r="E181" s="82">
        <f t="shared" si="5"/>
        <v>6399.68</v>
      </c>
      <c r="F181" s="89">
        <v>0.1037</v>
      </c>
      <c r="G181" s="82">
        <f t="shared" si="6"/>
        <v>6626.4674999999997</v>
      </c>
    </row>
    <row r="182" spans="3:7">
      <c r="C182" s="86" t="s">
        <v>483</v>
      </c>
      <c r="D182" s="89">
        <v>0.1111</v>
      </c>
      <c r="E182" s="82">
        <f t="shared" si="5"/>
        <v>6414.4025000000001</v>
      </c>
      <c r="F182" s="89">
        <v>0.1111</v>
      </c>
      <c r="G182" s="82">
        <f t="shared" si="6"/>
        <v>6654.4025000000001</v>
      </c>
    </row>
    <row r="183" spans="3:7">
      <c r="C183" s="86" t="s">
        <v>484</v>
      </c>
      <c r="D183" s="89">
        <v>0.17019999999999999</v>
      </c>
      <c r="E183" s="82">
        <f t="shared" si="5"/>
        <v>6637.5050000000001</v>
      </c>
      <c r="F183" s="89">
        <v>0.1595</v>
      </c>
      <c r="G183" s="82">
        <f t="shared" si="6"/>
        <v>6837.1125000000002</v>
      </c>
    </row>
    <row r="184" spans="3:7">
      <c r="C184" s="86" t="s">
        <v>485</v>
      </c>
      <c r="D184" s="89">
        <v>0.14330000000000001</v>
      </c>
      <c r="E184" s="82">
        <f t="shared" si="5"/>
        <v>6535.9575000000004</v>
      </c>
      <c r="F184" s="89">
        <v>0.1338</v>
      </c>
      <c r="G184" s="82">
        <f t="shared" si="6"/>
        <v>6740.0950000000003</v>
      </c>
    </row>
    <row r="185" spans="3:7">
      <c r="C185" s="86" t="s">
        <v>486</v>
      </c>
      <c r="D185" s="89">
        <v>8.5999999999999993E-2</v>
      </c>
      <c r="E185" s="82">
        <f t="shared" si="5"/>
        <v>6319.65</v>
      </c>
      <c r="F185" s="89">
        <v>8.5999999999999993E-2</v>
      </c>
      <c r="G185" s="82">
        <f t="shared" si="6"/>
        <v>6559.65</v>
      </c>
    </row>
    <row r="186" spans="3:7">
      <c r="C186" s="86" t="s">
        <v>487</v>
      </c>
      <c r="D186" s="89">
        <v>0.20319999999999999</v>
      </c>
      <c r="E186" s="82">
        <f t="shared" si="5"/>
        <v>6762.08</v>
      </c>
      <c r="F186" s="89">
        <v>0.1782</v>
      </c>
      <c r="G186" s="82">
        <f t="shared" si="6"/>
        <v>6907.7049999999999</v>
      </c>
    </row>
    <row r="187" spans="3:7">
      <c r="C187" s="86" t="s">
        <v>488</v>
      </c>
      <c r="D187" s="89">
        <v>4.19E-2</v>
      </c>
      <c r="E187" s="82">
        <f t="shared" si="5"/>
        <v>6153.1724999999997</v>
      </c>
      <c r="F187" s="89">
        <v>4.19E-2</v>
      </c>
      <c r="G187" s="82">
        <f t="shared" si="6"/>
        <v>6393.1724999999997</v>
      </c>
    </row>
    <row r="188" spans="3:7">
      <c r="C188" s="86" t="s">
        <v>489</v>
      </c>
      <c r="D188" s="89">
        <v>0.1555</v>
      </c>
      <c r="E188" s="82">
        <f t="shared" si="5"/>
        <v>6582.0124999999998</v>
      </c>
      <c r="F188" s="89">
        <v>0.15279999999999999</v>
      </c>
      <c r="G188" s="82">
        <f t="shared" si="6"/>
        <v>6811.82</v>
      </c>
    </row>
    <row r="189" spans="3:7">
      <c r="C189" s="86" t="s">
        <v>490</v>
      </c>
      <c r="D189" s="89">
        <v>3.9100000000000003E-2</v>
      </c>
      <c r="E189" s="82">
        <f t="shared" si="5"/>
        <v>6142.6025</v>
      </c>
      <c r="F189" s="89">
        <v>3.9100000000000003E-2</v>
      </c>
      <c r="G189" s="82">
        <f t="shared" si="6"/>
        <v>6382.6025</v>
      </c>
    </row>
    <row r="190" spans="3:7">
      <c r="C190" s="87" t="s">
        <v>491</v>
      </c>
      <c r="D190" s="89">
        <v>0.22009999999999999</v>
      </c>
      <c r="E190" s="82">
        <f t="shared" si="5"/>
        <v>6825.8774999999996</v>
      </c>
      <c r="F190" s="89">
        <v>0.22009999999999999</v>
      </c>
      <c r="G190" s="82">
        <f t="shared" si="6"/>
        <v>7065.8774999999996</v>
      </c>
    </row>
    <row r="191" spans="3:7">
      <c r="C191" s="86" t="s">
        <v>492</v>
      </c>
      <c r="D191" s="89">
        <v>0.1242</v>
      </c>
      <c r="E191" s="82">
        <f t="shared" si="5"/>
        <v>6463.8549999999996</v>
      </c>
      <c r="F191" s="89">
        <v>0.1242</v>
      </c>
      <c r="G191" s="82">
        <f t="shared" si="6"/>
        <v>6703.8549999999996</v>
      </c>
    </row>
    <row r="192" spans="3:7">
      <c r="C192" s="86" t="s">
        <v>493</v>
      </c>
      <c r="D192" s="89">
        <v>7.1999999999999995E-2</v>
      </c>
      <c r="E192" s="82">
        <f t="shared" si="5"/>
        <v>6266.8</v>
      </c>
      <c r="F192" s="89">
        <v>7.0300000000000001E-2</v>
      </c>
      <c r="G192" s="82">
        <f t="shared" si="6"/>
        <v>6500.3824999999997</v>
      </c>
    </row>
    <row r="193" spans="3:7">
      <c r="C193" s="86" t="s">
        <v>494</v>
      </c>
      <c r="D193" s="89">
        <v>3.5400000000000001E-2</v>
      </c>
      <c r="E193" s="82">
        <f t="shared" si="5"/>
        <v>6128.6350000000002</v>
      </c>
      <c r="F193" s="89">
        <v>3.5400000000000001E-2</v>
      </c>
      <c r="G193" s="82">
        <f t="shared" si="6"/>
        <v>6368.6350000000002</v>
      </c>
    </row>
    <row r="194" spans="3:7">
      <c r="C194" s="86" t="s">
        <v>495</v>
      </c>
      <c r="D194" s="89">
        <v>0.105</v>
      </c>
      <c r="E194" s="82">
        <f t="shared" si="5"/>
        <v>6391.375</v>
      </c>
      <c r="F194" s="89">
        <v>0.105</v>
      </c>
      <c r="G194" s="82">
        <f t="shared" si="6"/>
        <v>6631.375</v>
      </c>
    </row>
    <row r="195" spans="3:7">
      <c r="C195" s="86" t="s">
        <v>496</v>
      </c>
      <c r="D195" s="89">
        <v>7.5399999999999995E-2</v>
      </c>
      <c r="E195" s="82">
        <f t="shared" si="5"/>
        <v>6279.6350000000002</v>
      </c>
      <c r="F195" s="89">
        <v>7.5399999999999995E-2</v>
      </c>
      <c r="G195" s="82">
        <f t="shared" si="6"/>
        <v>6519.6350000000002</v>
      </c>
    </row>
    <row r="196" spans="3:7">
      <c r="C196" s="86" t="s">
        <v>497</v>
      </c>
      <c r="D196" s="89">
        <v>0.13850000000000001</v>
      </c>
      <c r="E196" s="82">
        <f t="shared" si="5"/>
        <v>6517.8374999999996</v>
      </c>
      <c r="F196" s="89">
        <v>0.124</v>
      </c>
      <c r="G196" s="82">
        <f t="shared" si="6"/>
        <v>6703.1</v>
      </c>
    </row>
    <row r="197" spans="3:7">
      <c r="C197" s="87" t="s">
        <v>498</v>
      </c>
      <c r="D197" s="89">
        <v>0.22589999999999999</v>
      </c>
      <c r="E197" s="82">
        <f t="shared" si="5"/>
        <v>6847.7725</v>
      </c>
      <c r="F197" s="89">
        <v>0.21890000000000001</v>
      </c>
      <c r="G197" s="82">
        <f t="shared" si="6"/>
        <v>7061.3474999999999</v>
      </c>
    </row>
    <row r="198" spans="3:7">
      <c r="C198" s="87" t="s">
        <v>499</v>
      </c>
      <c r="D198" s="89">
        <v>0.1895</v>
      </c>
      <c r="E198" s="82">
        <f t="shared" si="5"/>
        <v>6710.3625000000002</v>
      </c>
      <c r="F198" s="89">
        <v>0.1895</v>
      </c>
      <c r="G198" s="82">
        <f t="shared" si="6"/>
        <v>6950.3625000000002</v>
      </c>
    </row>
    <row r="199" spans="3:7">
      <c r="C199" s="86" t="s">
        <v>500</v>
      </c>
      <c r="D199" s="89">
        <v>0.21310000000000001</v>
      </c>
      <c r="E199" s="82">
        <f t="shared" si="5"/>
        <v>6799.4525000000003</v>
      </c>
      <c r="F199" s="89">
        <v>0.20630000000000001</v>
      </c>
      <c r="G199" s="82">
        <f t="shared" si="6"/>
        <v>7013.7825000000003</v>
      </c>
    </row>
    <row r="200" spans="3:7">
      <c r="C200" s="86" t="s">
        <v>501</v>
      </c>
      <c r="D200" s="89">
        <v>7.0199999999999999E-2</v>
      </c>
      <c r="E200" s="82">
        <f t="shared" si="5"/>
        <v>6260.0050000000001</v>
      </c>
      <c r="F200" s="89">
        <v>7.0199999999999999E-2</v>
      </c>
      <c r="G200" s="82">
        <f t="shared" si="6"/>
        <v>6500.0050000000001</v>
      </c>
    </row>
    <row r="201" spans="3:7">
      <c r="C201" s="86" t="s">
        <v>502</v>
      </c>
      <c r="D201" s="89">
        <v>0.13550000000000001</v>
      </c>
      <c r="E201" s="82">
        <f t="shared" si="5"/>
        <v>6506.5124999999998</v>
      </c>
      <c r="F201" s="89">
        <v>0.13550000000000001</v>
      </c>
      <c r="G201" s="82">
        <f t="shared" si="6"/>
        <v>6746.5124999999998</v>
      </c>
    </row>
    <row r="202" spans="3:7">
      <c r="C202" s="86" t="s">
        <v>503</v>
      </c>
      <c r="D202" s="89">
        <v>0.25700000000000001</v>
      </c>
      <c r="E202" s="82">
        <f t="shared" si="5"/>
        <v>6965.1750000000002</v>
      </c>
      <c r="F202" s="89">
        <v>0.23799999999999999</v>
      </c>
      <c r="G202" s="82">
        <f t="shared" si="6"/>
        <v>7133.45</v>
      </c>
    </row>
    <row r="203" spans="3:7">
      <c r="C203" s="86" t="s">
        <v>504</v>
      </c>
      <c r="D203" s="89">
        <v>0.14879999999999999</v>
      </c>
      <c r="E203" s="82">
        <f t="shared" si="5"/>
        <v>6556.72</v>
      </c>
      <c r="F203" s="89">
        <v>0.14879999999999999</v>
      </c>
      <c r="G203" s="82">
        <f t="shared" si="6"/>
        <v>6796.72</v>
      </c>
    </row>
    <row r="204" spans="3:7">
      <c r="C204" s="86" t="s">
        <v>505</v>
      </c>
      <c r="D204" s="89">
        <v>0.1157</v>
      </c>
      <c r="E204" s="82">
        <f t="shared" si="5"/>
        <v>6431.7674999999999</v>
      </c>
      <c r="F204" s="89">
        <v>0.1157</v>
      </c>
      <c r="G204" s="82">
        <f t="shared" si="6"/>
        <v>6671.7674999999999</v>
      </c>
    </row>
    <row r="205" spans="3:7">
      <c r="C205" s="86" t="s">
        <v>506</v>
      </c>
      <c r="D205" s="89">
        <v>7.1800000000000003E-2</v>
      </c>
      <c r="E205" s="82">
        <f t="shared" si="5"/>
        <v>6266.0450000000001</v>
      </c>
      <c r="F205" s="89">
        <v>7.1400000000000005E-2</v>
      </c>
      <c r="G205" s="82">
        <f t="shared" si="6"/>
        <v>6504.5349999999999</v>
      </c>
    </row>
    <row r="206" spans="3:7">
      <c r="C206" s="86" t="s">
        <v>507</v>
      </c>
      <c r="D206" s="89">
        <v>0.1268</v>
      </c>
      <c r="E206" s="82">
        <f t="shared" si="5"/>
        <v>6473.67</v>
      </c>
      <c r="F206" s="89">
        <v>0.1242</v>
      </c>
      <c r="G206" s="82">
        <f t="shared" si="6"/>
        <v>6703.8549999999996</v>
      </c>
    </row>
    <row r="207" spans="3:7">
      <c r="C207" s="86" t="s">
        <v>508</v>
      </c>
      <c r="D207" s="89">
        <v>0.19869999999999999</v>
      </c>
      <c r="E207" s="82">
        <f t="shared" si="5"/>
        <v>6745.0924999999997</v>
      </c>
      <c r="F207" s="89">
        <v>0.18959999999999999</v>
      </c>
      <c r="G207" s="82">
        <f t="shared" si="6"/>
        <v>6950.74</v>
      </c>
    </row>
    <row r="208" spans="3:7">
      <c r="C208" s="86" t="s">
        <v>509</v>
      </c>
      <c r="D208" s="89">
        <v>5.3699999999999998E-2</v>
      </c>
      <c r="E208" s="82">
        <f t="shared" si="5"/>
        <v>6197.7174999999997</v>
      </c>
      <c r="F208" s="89">
        <v>5.3699999999999998E-2</v>
      </c>
      <c r="G208" s="82">
        <f t="shared" si="6"/>
        <v>6437.7174999999997</v>
      </c>
    </row>
    <row r="209" spans="3:7">
      <c r="C209" s="88" t="s">
        <v>510</v>
      </c>
      <c r="D209" s="89">
        <v>0.1275</v>
      </c>
      <c r="E209" s="82">
        <f t="shared" ref="E209:E272" si="7">(D209*$J$19)+$J$18</f>
        <v>6476.3125</v>
      </c>
      <c r="F209" s="89">
        <v>0.1275</v>
      </c>
      <c r="G209" s="82">
        <f t="shared" si="6"/>
        <v>6716.3125</v>
      </c>
    </row>
    <row r="210" spans="3:7">
      <c r="C210" s="86" t="s">
        <v>511</v>
      </c>
      <c r="D210" s="89">
        <v>0.20300000000000001</v>
      </c>
      <c r="E210" s="82">
        <f t="shared" si="7"/>
        <v>6761.3249999999998</v>
      </c>
      <c r="F210" s="89">
        <v>0.19989999999999999</v>
      </c>
      <c r="G210" s="82">
        <f t="shared" si="6"/>
        <v>6989.6224999999995</v>
      </c>
    </row>
    <row r="211" spans="3:7">
      <c r="C211" s="86" t="s">
        <v>512</v>
      </c>
      <c r="D211" s="89">
        <v>0.24540000000000001</v>
      </c>
      <c r="E211" s="82">
        <f t="shared" si="7"/>
        <v>6921.3850000000002</v>
      </c>
      <c r="F211" s="89">
        <v>0.22439999999999999</v>
      </c>
      <c r="G211" s="82">
        <f t="shared" ref="G211:G274" si="8">(F211*$K$19)+$K$18</f>
        <v>7082.11</v>
      </c>
    </row>
    <row r="212" spans="3:7">
      <c r="C212" s="87" t="s">
        <v>513</v>
      </c>
      <c r="D212" s="89">
        <v>0.2036</v>
      </c>
      <c r="E212" s="82">
        <f t="shared" si="7"/>
        <v>6763.59</v>
      </c>
      <c r="F212" s="89">
        <v>0.1804</v>
      </c>
      <c r="G212" s="82">
        <f t="shared" si="8"/>
        <v>6916.01</v>
      </c>
    </row>
    <row r="213" spans="3:7">
      <c r="C213" s="86" t="s">
        <v>514</v>
      </c>
      <c r="D213" s="89">
        <v>0.18440000000000001</v>
      </c>
      <c r="E213" s="82">
        <f t="shared" si="7"/>
        <v>6691.11</v>
      </c>
      <c r="F213" s="89">
        <v>0.1802</v>
      </c>
      <c r="G213" s="82">
        <f t="shared" si="8"/>
        <v>6915.2550000000001</v>
      </c>
    </row>
    <row r="214" spans="3:7">
      <c r="C214" s="86" t="s">
        <v>515</v>
      </c>
      <c r="D214" s="89">
        <v>0.1182</v>
      </c>
      <c r="E214" s="82">
        <f t="shared" si="7"/>
        <v>6441.2049999999999</v>
      </c>
      <c r="F214" s="89">
        <v>0.1023</v>
      </c>
      <c r="G214" s="82">
        <f t="shared" si="8"/>
        <v>6621.1824999999999</v>
      </c>
    </row>
    <row r="215" spans="3:7">
      <c r="C215" s="86" t="s">
        <v>516</v>
      </c>
      <c r="D215" s="89">
        <v>0.37419999999999998</v>
      </c>
      <c r="E215" s="82">
        <f t="shared" si="7"/>
        <v>7407.6049999999996</v>
      </c>
      <c r="F215" s="89">
        <v>0.34920000000000001</v>
      </c>
      <c r="G215" s="82">
        <f t="shared" si="8"/>
        <v>7553.23</v>
      </c>
    </row>
    <row r="216" spans="3:7">
      <c r="C216" s="86" t="s">
        <v>517</v>
      </c>
      <c r="D216" s="89">
        <v>0.128</v>
      </c>
      <c r="E216" s="82">
        <f t="shared" si="7"/>
        <v>6478.2</v>
      </c>
      <c r="F216" s="89">
        <v>0.128</v>
      </c>
      <c r="G216" s="82">
        <f t="shared" si="8"/>
        <v>6718.2</v>
      </c>
    </row>
    <row r="217" spans="3:7">
      <c r="C217" s="88" t="s">
        <v>518</v>
      </c>
      <c r="D217" s="89">
        <v>0.39150000000000001</v>
      </c>
      <c r="E217" s="82">
        <f t="shared" si="7"/>
        <v>7472.9125000000004</v>
      </c>
      <c r="F217" s="89">
        <v>0.39150000000000001</v>
      </c>
      <c r="G217" s="82">
        <f t="shared" si="8"/>
        <v>7712.9125000000004</v>
      </c>
    </row>
    <row r="218" spans="3:7">
      <c r="C218" s="86" t="s">
        <v>519</v>
      </c>
      <c r="D218" s="89">
        <v>0.18740000000000001</v>
      </c>
      <c r="E218" s="82">
        <f t="shared" si="7"/>
        <v>6702.4350000000004</v>
      </c>
      <c r="F218" s="89">
        <v>0.16239999999999999</v>
      </c>
      <c r="G218" s="82">
        <f t="shared" si="8"/>
        <v>6848.0599999999995</v>
      </c>
    </row>
    <row r="219" spans="3:7">
      <c r="C219" s="86" t="s">
        <v>520</v>
      </c>
      <c r="D219" s="89">
        <v>8.6800000000000002E-2</v>
      </c>
      <c r="E219" s="82">
        <f t="shared" si="7"/>
        <v>6322.67</v>
      </c>
      <c r="F219" s="89">
        <v>7.9399999999999998E-2</v>
      </c>
      <c r="G219" s="82">
        <f t="shared" si="8"/>
        <v>6534.7349999999997</v>
      </c>
    </row>
    <row r="220" spans="3:7">
      <c r="C220" s="86" t="s">
        <v>521</v>
      </c>
      <c r="D220" s="89">
        <v>0.15970000000000001</v>
      </c>
      <c r="E220" s="82">
        <f t="shared" si="7"/>
        <v>6597.8675000000003</v>
      </c>
      <c r="F220" s="89">
        <v>0.15970000000000001</v>
      </c>
      <c r="G220" s="82">
        <f t="shared" si="8"/>
        <v>6837.8675000000003</v>
      </c>
    </row>
    <row r="221" spans="3:7">
      <c r="C221" s="86" t="s">
        <v>522</v>
      </c>
      <c r="D221" s="89">
        <v>0.20380000000000001</v>
      </c>
      <c r="E221" s="82">
        <f t="shared" si="7"/>
        <v>6764.3450000000003</v>
      </c>
      <c r="F221" s="89">
        <v>0.17879999999999999</v>
      </c>
      <c r="G221" s="82">
        <f t="shared" si="8"/>
        <v>6909.97</v>
      </c>
    </row>
    <row r="222" spans="3:7">
      <c r="C222" s="88" t="s">
        <v>523</v>
      </c>
      <c r="D222" s="89">
        <v>0.54590000000000005</v>
      </c>
      <c r="E222" s="82">
        <f t="shared" si="7"/>
        <v>8055.7725</v>
      </c>
      <c r="F222" s="89">
        <v>0.52090000000000003</v>
      </c>
      <c r="G222" s="82">
        <f t="shared" si="8"/>
        <v>8201.3974999999991</v>
      </c>
    </row>
    <row r="223" spans="3:7">
      <c r="C223" s="88" t="s">
        <v>524</v>
      </c>
      <c r="D223" s="89">
        <v>0.36799999999999999</v>
      </c>
      <c r="E223" s="82">
        <f t="shared" si="7"/>
        <v>7384.2</v>
      </c>
      <c r="F223" s="89">
        <v>0.34300000000000003</v>
      </c>
      <c r="G223" s="82">
        <f t="shared" si="8"/>
        <v>7529.8249999999998</v>
      </c>
    </row>
    <row r="224" spans="3:7">
      <c r="C224" s="86" t="s">
        <v>525</v>
      </c>
      <c r="D224" s="89">
        <v>0.1729</v>
      </c>
      <c r="E224" s="82">
        <f t="shared" si="7"/>
        <v>6647.6975000000002</v>
      </c>
      <c r="F224" s="89">
        <v>0.1729</v>
      </c>
      <c r="G224" s="82">
        <f t="shared" si="8"/>
        <v>6887.6975000000002</v>
      </c>
    </row>
    <row r="225" spans="3:7">
      <c r="C225" s="86" t="s">
        <v>526</v>
      </c>
      <c r="D225" s="89">
        <v>0.26750000000000002</v>
      </c>
      <c r="E225" s="82">
        <f t="shared" si="7"/>
        <v>7004.8125</v>
      </c>
      <c r="F225" s="89">
        <v>0.2606</v>
      </c>
      <c r="G225" s="82">
        <f t="shared" si="8"/>
        <v>7218.7650000000003</v>
      </c>
    </row>
    <row r="226" spans="3:7">
      <c r="C226" s="86" t="s">
        <v>527</v>
      </c>
      <c r="D226" s="89">
        <v>0.13020000000000001</v>
      </c>
      <c r="E226" s="82">
        <f t="shared" si="7"/>
        <v>6486.5050000000001</v>
      </c>
      <c r="F226" s="89">
        <v>0.13020000000000001</v>
      </c>
      <c r="G226" s="82">
        <f t="shared" si="8"/>
        <v>6726.5050000000001</v>
      </c>
    </row>
    <row r="227" spans="3:7">
      <c r="C227" s="86" t="s">
        <v>528</v>
      </c>
      <c r="D227" s="89">
        <v>4.9000000000000002E-2</v>
      </c>
      <c r="E227" s="82">
        <f t="shared" si="7"/>
        <v>6179.9750000000004</v>
      </c>
      <c r="F227" s="89">
        <v>4.9000000000000002E-2</v>
      </c>
      <c r="G227" s="82">
        <f t="shared" si="8"/>
        <v>6419.9750000000004</v>
      </c>
    </row>
    <row r="228" spans="3:7">
      <c r="C228" s="86" t="s">
        <v>529</v>
      </c>
      <c r="D228" s="89">
        <v>0.23200000000000001</v>
      </c>
      <c r="E228" s="82">
        <f t="shared" si="7"/>
        <v>6870.8</v>
      </c>
      <c r="F228" s="89">
        <v>0.20699999999999999</v>
      </c>
      <c r="G228" s="82">
        <f t="shared" si="8"/>
        <v>7016.4250000000002</v>
      </c>
    </row>
    <row r="229" spans="3:7">
      <c r="C229" s="86" t="s">
        <v>530</v>
      </c>
      <c r="D229" s="89">
        <v>0.25729999999999997</v>
      </c>
      <c r="E229" s="82">
        <f t="shared" si="7"/>
        <v>6966.3074999999999</v>
      </c>
      <c r="F229" s="89">
        <v>0.2455</v>
      </c>
      <c r="G229" s="82">
        <f t="shared" si="8"/>
        <v>7161.7624999999998</v>
      </c>
    </row>
    <row r="230" spans="3:7">
      <c r="C230" s="86" t="s">
        <v>531</v>
      </c>
      <c r="D230" s="89">
        <v>0.21129999999999999</v>
      </c>
      <c r="E230" s="82">
        <f t="shared" si="7"/>
        <v>6792.6575000000003</v>
      </c>
      <c r="F230" s="89">
        <v>0.1875</v>
      </c>
      <c r="G230" s="82">
        <f t="shared" si="8"/>
        <v>6942.8125</v>
      </c>
    </row>
    <row r="231" spans="3:7">
      <c r="C231" s="86" t="s">
        <v>532</v>
      </c>
      <c r="D231" s="89">
        <v>0.16039999999999999</v>
      </c>
      <c r="E231" s="82">
        <f t="shared" si="7"/>
        <v>6600.51</v>
      </c>
      <c r="F231" s="89">
        <v>0.13539999999999999</v>
      </c>
      <c r="G231" s="82">
        <f t="shared" si="8"/>
        <v>6746.1350000000002</v>
      </c>
    </row>
    <row r="232" spans="3:7">
      <c r="C232" s="86" t="s">
        <v>533</v>
      </c>
      <c r="D232" s="89">
        <v>0.113</v>
      </c>
      <c r="E232" s="82">
        <f t="shared" si="7"/>
        <v>6421.5749999999998</v>
      </c>
      <c r="F232" s="89">
        <v>0.113</v>
      </c>
      <c r="G232" s="82">
        <f t="shared" si="8"/>
        <v>6661.5749999999998</v>
      </c>
    </row>
    <row r="233" spans="3:7">
      <c r="C233" s="86" t="s">
        <v>534</v>
      </c>
      <c r="D233" s="89">
        <v>0.18540000000000001</v>
      </c>
      <c r="E233" s="82">
        <f t="shared" si="7"/>
        <v>6694.8850000000002</v>
      </c>
      <c r="F233" s="89">
        <v>0.17460000000000001</v>
      </c>
      <c r="G233" s="82">
        <f t="shared" si="8"/>
        <v>6894.1149999999998</v>
      </c>
    </row>
    <row r="234" spans="3:7">
      <c r="C234" s="86" t="s">
        <v>535</v>
      </c>
      <c r="D234" s="89">
        <v>0.1333</v>
      </c>
      <c r="E234" s="82">
        <f t="shared" si="7"/>
        <v>6498.2075000000004</v>
      </c>
      <c r="F234" s="89">
        <v>0.1333</v>
      </c>
      <c r="G234" s="82">
        <f t="shared" si="8"/>
        <v>6738.2075000000004</v>
      </c>
    </row>
    <row r="235" spans="3:7">
      <c r="C235" s="86" t="s">
        <v>536</v>
      </c>
      <c r="D235" s="89">
        <v>0.11260000000000001</v>
      </c>
      <c r="E235" s="82">
        <f t="shared" si="7"/>
        <v>6420.0649999999996</v>
      </c>
      <c r="F235" s="89">
        <v>0.11260000000000001</v>
      </c>
      <c r="G235" s="82">
        <f t="shared" si="8"/>
        <v>6660.0649999999996</v>
      </c>
    </row>
    <row r="236" spans="3:7">
      <c r="C236" s="86" t="s">
        <v>537</v>
      </c>
      <c r="D236" s="89">
        <v>0.19339999999999999</v>
      </c>
      <c r="E236" s="82">
        <f t="shared" si="7"/>
        <v>6725.085</v>
      </c>
      <c r="F236" s="89">
        <v>0.18629999999999999</v>
      </c>
      <c r="G236" s="82">
        <f t="shared" si="8"/>
        <v>6938.2825000000003</v>
      </c>
    </row>
    <row r="237" spans="3:7">
      <c r="C237" s="86" t="s">
        <v>538</v>
      </c>
      <c r="D237" s="89">
        <v>6.3200000000000006E-2</v>
      </c>
      <c r="E237" s="82">
        <f t="shared" si="7"/>
        <v>6233.58</v>
      </c>
      <c r="F237" s="89">
        <v>6.3200000000000006E-2</v>
      </c>
      <c r="G237" s="82">
        <f t="shared" si="8"/>
        <v>6473.58</v>
      </c>
    </row>
    <row r="238" spans="3:7">
      <c r="C238" s="86" t="s">
        <v>539</v>
      </c>
      <c r="D238" s="89">
        <v>0.1363</v>
      </c>
      <c r="E238" s="82">
        <f t="shared" si="7"/>
        <v>6509.5325000000003</v>
      </c>
      <c r="F238" s="89">
        <v>0.1361</v>
      </c>
      <c r="G238" s="82">
        <f t="shared" si="8"/>
        <v>6748.7775000000001</v>
      </c>
    </row>
    <row r="239" spans="3:7">
      <c r="C239" s="86" t="s">
        <v>6</v>
      </c>
      <c r="D239" s="89">
        <v>0.3669</v>
      </c>
      <c r="E239" s="82">
        <f t="shared" si="7"/>
        <v>7380.0475000000006</v>
      </c>
      <c r="F239" s="89">
        <v>0.3669</v>
      </c>
      <c r="G239" s="82">
        <f t="shared" si="8"/>
        <v>7620.0475000000006</v>
      </c>
    </row>
    <row r="240" spans="3:7">
      <c r="C240" s="87" t="s">
        <v>540</v>
      </c>
      <c r="D240" s="89">
        <v>8.7999999999999995E-2</v>
      </c>
      <c r="E240" s="82">
        <f t="shared" si="7"/>
        <v>6327.2</v>
      </c>
      <c r="F240" s="89">
        <v>8.7999999999999995E-2</v>
      </c>
      <c r="G240" s="82">
        <f t="shared" si="8"/>
        <v>6567.2</v>
      </c>
    </row>
    <row r="241" spans="3:7">
      <c r="C241" s="86" t="s">
        <v>541</v>
      </c>
      <c r="D241" s="89">
        <v>0.19040000000000001</v>
      </c>
      <c r="E241" s="82">
        <f t="shared" si="7"/>
        <v>6713.76</v>
      </c>
      <c r="F241" s="89">
        <v>0.19040000000000001</v>
      </c>
      <c r="G241" s="82">
        <f t="shared" si="8"/>
        <v>6953.76</v>
      </c>
    </row>
    <row r="242" spans="3:7">
      <c r="C242" s="86" t="s">
        <v>542</v>
      </c>
      <c r="D242" s="89">
        <v>8.2600000000000007E-2</v>
      </c>
      <c r="E242" s="82">
        <f t="shared" si="7"/>
        <v>6306.8149999999996</v>
      </c>
      <c r="F242" s="89">
        <v>8.2600000000000007E-2</v>
      </c>
      <c r="G242" s="82">
        <f t="shared" si="8"/>
        <v>6546.8149999999996</v>
      </c>
    </row>
    <row r="243" spans="3:7">
      <c r="C243" s="86" t="s">
        <v>543</v>
      </c>
      <c r="D243" s="89">
        <v>0.15629999999999999</v>
      </c>
      <c r="E243" s="82">
        <f t="shared" si="7"/>
        <v>6585.0325000000003</v>
      </c>
      <c r="F243" s="89">
        <v>0.15210000000000001</v>
      </c>
      <c r="G243" s="82">
        <f t="shared" si="8"/>
        <v>6809.1774999999998</v>
      </c>
    </row>
    <row r="244" spans="3:7">
      <c r="C244" s="86" t="s">
        <v>544</v>
      </c>
      <c r="D244" s="89">
        <v>0.14799999999999999</v>
      </c>
      <c r="E244" s="82">
        <f t="shared" si="7"/>
        <v>6553.7</v>
      </c>
      <c r="F244" s="89">
        <v>0.14799999999999999</v>
      </c>
      <c r="G244" s="82">
        <f t="shared" si="8"/>
        <v>6793.7</v>
      </c>
    </row>
    <row r="245" spans="3:7">
      <c r="C245" s="86" t="s">
        <v>545</v>
      </c>
      <c r="D245" s="89">
        <v>9.8500000000000004E-2</v>
      </c>
      <c r="E245" s="82">
        <f t="shared" si="7"/>
        <v>6366.8374999999996</v>
      </c>
      <c r="F245" s="89">
        <v>9.8500000000000004E-2</v>
      </c>
      <c r="G245" s="82">
        <f t="shared" si="8"/>
        <v>6606.8374999999996</v>
      </c>
    </row>
    <row r="246" spans="3:7">
      <c r="C246" s="86" t="s">
        <v>546</v>
      </c>
      <c r="D246" s="89">
        <v>9.1200000000000003E-2</v>
      </c>
      <c r="E246" s="82">
        <f t="shared" si="7"/>
        <v>6339.28</v>
      </c>
      <c r="F246" s="89">
        <v>9.1200000000000003E-2</v>
      </c>
      <c r="G246" s="82">
        <f t="shared" si="8"/>
        <v>6579.28</v>
      </c>
    </row>
    <row r="247" spans="3:7">
      <c r="C247" s="86" t="s">
        <v>547</v>
      </c>
      <c r="D247" s="89">
        <v>0.122</v>
      </c>
      <c r="E247" s="82">
        <f t="shared" si="7"/>
        <v>6455.55</v>
      </c>
      <c r="F247" s="89">
        <v>0.1057</v>
      </c>
      <c r="G247" s="82">
        <f t="shared" si="8"/>
        <v>6634.0174999999999</v>
      </c>
    </row>
    <row r="248" spans="3:7">
      <c r="C248" s="86" t="s">
        <v>548</v>
      </c>
      <c r="D248" s="89">
        <v>0.21840000000000001</v>
      </c>
      <c r="E248" s="82">
        <f t="shared" si="7"/>
        <v>6819.46</v>
      </c>
      <c r="F248" s="89">
        <v>0.21840000000000001</v>
      </c>
      <c r="G248" s="82">
        <f t="shared" si="8"/>
        <v>7059.46</v>
      </c>
    </row>
    <row r="249" spans="3:7">
      <c r="C249" s="86" t="s">
        <v>549</v>
      </c>
      <c r="D249" s="89">
        <v>0.12089999999999999</v>
      </c>
      <c r="E249" s="82">
        <f t="shared" si="7"/>
        <v>6451.3975</v>
      </c>
      <c r="F249" s="89">
        <v>0.109</v>
      </c>
      <c r="G249" s="82">
        <f t="shared" si="8"/>
        <v>6646.4750000000004</v>
      </c>
    </row>
    <row r="250" spans="3:7">
      <c r="C250" s="86" t="s">
        <v>550</v>
      </c>
      <c r="D250" s="89">
        <v>0.2195</v>
      </c>
      <c r="E250" s="82">
        <f t="shared" si="7"/>
        <v>6823.6125000000002</v>
      </c>
      <c r="F250" s="89">
        <v>0.2152</v>
      </c>
      <c r="G250" s="82">
        <f t="shared" si="8"/>
        <v>7047.38</v>
      </c>
    </row>
    <row r="251" spans="3:7">
      <c r="C251" s="86" t="s">
        <v>551</v>
      </c>
      <c r="D251" s="89">
        <v>0.16309999999999999</v>
      </c>
      <c r="E251" s="82">
        <f t="shared" si="7"/>
        <v>6610.7025000000003</v>
      </c>
      <c r="F251" s="89">
        <v>0.15759999999999999</v>
      </c>
      <c r="G251" s="82">
        <f t="shared" si="8"/>
        <v>6829.94</v>
      </c>
    </row>
    <row r="252" spans="3:7">
      <c r="C252" s="86" t="s">
        <v>552</v>
      </c>
      <c r="D252" s="89">
        <v>0.2248</v>
      </c>
      <c r="E252" s="82">
        <f t="shared" si="7"/>
        <v>6843.62</v>
      </c>
      <c r="F252" s="89">
        <v>0.2248</v>
      </c>
      <c r="G252" s="82">
        <f t="shared" si="8"/>
        <v>7083.62</v>
      </c>
    </row>
    <row r="253" spans="3:7">
      <c r="C253" s="86" t="s">
        <v>553</v>
      </c>
      <c r="D253" s="89">
        <v>3.5200000000000002E-2</v>
      </c>
      <c r="E253" s="82">
        <f t="shared" si="7"/>
        <v>6127.88</v>
      </c>
      <c r="F253" s="89">
        <v>3.5200000000000002E-2</v>
      </c>
      <c r="G253" s="82">
        <f t="shared" si="8"/>
        <v>6367.88</v>
      </c>
    </row>
    <row r="254" spans="3:7">
      <c r="C254" s="86" t="s">
        <v>554</v>
      </c>
      <c r="D254" s="89">
        <v>0.2092</v>
      </c>
      <c r="E254" s="82">
        <f t="shared" si="7"/>
        <v>6784.73</v>
      </c>
      <c r="F254" s="89">
        <v>0.1842</v>
      </c>
      <c r="G254" s="82">
        <f t="shared" si="8"/>
        <v>6930.3549999999996</v>
      </c>
    </row>
    <row r="255" spans="3:7">
      <c r="C255" s="86" t="s">
        <v>555</v>
      </c>
      <c r="D255" s="89">
        <v>6.3799999999999996E-2</v>
      </c>
      <c r="E255" s="82">
        <f t="shared" si="7"/>
        <v>6235.8450000000003</v>
      </c>
      <c r="F255" s="89">
        <v>6.3799999999999996E-2</v>
      </c>
      <c r="G255" s="82">
        <f t="shared" si="8"/>
        <v>6475.8450000000003</v>
      </c>
    </row>
    <row r="256" spans="3:7">
      <c r="C256" s="86" t="s">
        <v>556</v>
      </c>
      <c r="D256" s="89">
        <v>0.10489999999999999</v>
      </c>
      <c r="E256" s="82">
        <f t="shared" si="7"/>
        <v>6390.9975000000004</v>
      </c>
      <c r="F256" s="89">
        <v>7.9899999999999999E-2</v>
      </c>
      <c r="G256" s="82">
        <f t="shared" si="8"/>
        <v>6536.6225000000004</v>
      </c>
    </row>
    <row r="257" spans="3:7">
      <c r="C257" s="86" t="s">
        <v>557</v>
      </c>
      <c r="D257" s="89">
        <v>9.0399999999999994E-2</v>
      </c>
      <c r="E257" s="82">
        <f t="shared" si="7"/>
        <v>6336.26</v>
      </c>
      <c r="F257" s="89">
        <v>8.1799999999999998E-2</v>
      </c>
      <c r="G257" s="82">
        <f t="shared" si="8"/>
        <v>6543.7950000000001</v>
      </c>
    </row>
    <row r="258" spans="3:7">
      <c r="C258" s="86" t="s">
        <v>558</v>
      </c>
      <c r="D258" s="89">
        <v>0.25130000000000002</v>
      </c>
      <c r="E258" s="82">
        <f t="shared" si="7"/>
        <v>6943.6575000000003</v>
      </c>
      <c r="F258" s="89">
        <v>0.23330000000000001</v>
      </c>
      <c r="G258" s="82">
        <f t="shared" si="8"/>
        <v>7115.7075000000004</v>
      </c>
    </row>
    <row r="259" spans="3:7">
      <c r="C259" s="86" t="s">
        <v>559</v>
      </c>
      <c r="D259" s="89">
        <v>0.1797</v>
      </c>
      <c r="E259" s="82">
        <f t="shared" si="7"/>
        <v>6673.3675000000003</v>
      </c>
      <c r="F259" s="89">
        <v>0.1797</v>
      </c>
      <c r="G259" s="82">
        <f t="shared" si="8"/>
        <v>6913.3675000000003</v>
      </c>
    </row>
    <row r="260" spans="3:7">
      <c r="C260" s="87" t="s">
        <v>560</v>
      </c>
      <c r="D260" s="89">
        <v>0.10929999999999999</v>
      </c>
      <c r="E260" s="82">
        <f t="shared" si="7"/>
        <v>6407.6075000000001</v>
      </c>
      <c r="F260" s="89">
        <v>0.1043</v>
      </c>
      <c r="G260" s="82">
        <f t="shared" si="8"/>
        <v>6628.7325000000001</v>
      </c>
    </row>
    <row r="261" spans="3:7">
      <c r="C261" s="86" t="s">
        <v>561</v>
      </c>
      <c r="D261" s="89">
        <v>0.22539999999999999</v>
      </c>
      <c r="E261" s="82">
        <f t="shared" si="7"/>
        <v>6845.8850000000002</v>
      </c>
      <c r="F261" s="89">
        <v>0.20039999999999999</v>
      </c>
      <c r="G261" s="82">
        <f t="shared" si="8"/>
        <v>6991.51</v>
      </c>
    </row>
    <row r="262" spans="3:7">
      <c r="C262" s="86" t="s">
        <v>562</v>
      </c>
      <c r="D262" s="89">
        <v>0.2029</v>
      </c>
      <c r="E262" s="82">
        <f t="shared" si="7"/>
        <v>6760.9475000000002</v>
      </c>
      <c r="F262" s="89">
        <v>0.1779</v>
      </c>
      <c r="G262" s="82">
        <f t="shared" si="8"/>
        <v>6906.5725000000002</v>
      </c>
    </row>
    <row r="263" spans="3:7">
      <c r="C263" s="87" t="s">
        <v>563</v>
      </c>
      <c r="D263" s="89">
        <v>0.18770000000000001</v>
      </c>
      <c r="E263" s="82">
        <f t="shared" si="7"/>
        <v>6703.5675000000001</v>
      </c>
      <c r="F263" s="89">
        <v>0.16270000000000001</v>
      </c>
      <c r="G263" s="82">
        <f t="shared" si="8"/>
        <v>6849.1925000000001</v>
      </c>
    </row>
    <row r="264" spans="3:7">
      <c r="C264" s="86" t="s">
        <v>564</v>
      </c>
      <c r="D264" s="89">
        <v>5.3199999999999997E-2</v>
      </c>
      <c r="E264" s="82">
        <f t="shared" si="7"/>
        <v>6195.83</v>
      </c>
      <c r="F264" s="89">
        <v>5.3199999999999997E-2</v>
      </c>
      <c r="G264" s="82">
        <f t="shared" si="8"/>
        <v>6435.83</v>
      </c>
    </row>
    <row r="265" spans="3:7">
      <c r="C265" s="86" t="s">
        <v>565</v>
      </c>
      <c r="D265" s="89">
        <v>0.2069</v>
      </c>
      <c r="E265" s="82">
        <f t="shared" si="7"/>
        <v>6776.0474999999997</v>
      </c>
      <c r="F265" s="89">
        <v>0.2044</v>
      </c>
      <c r="G265" s="82">
        <f t="shared" si="8"/>
        <v>7006.61</v>
      </c>
    </row>
    <row r="266" spans="3:7">
      <c r="C266" s="86" t="s">
        <v>566</v>
      </c>
      <c r="D266" s="89">
        <v>0.27800000000000002</v>
      </c>
      <c r="E266" s="82">
        <f t="shared" si="7"/>
        <v>7044.45</v>
      </c>
      <c r="F266" s="89">
        <v>0.27800000000000002</v>
      </c>
      <c r="G266" s="82">
        <f t="shared" si="8"/>
        <v>7284.45</v>
      </c>
    </row>
    <row r="267" spans="3:7">
      <c r="C267" s="86" t="s">
        <v>567</v>
      </c>
      <c r="D267" s="89">
        <v>0.17230000000000001</v>
      </c>
      <c r="E267" s="82">
        <f t="shared" si="7"/>
        <v>6645.4324999999999</v>
      </c>
      <c r="F267" s="89">
        <v>0.17230000000000001</v>
      </c>
      <c r="G267" s="82">
        <f t="shared" si="8"/>
        <v>6885.4324999999999</v>
      </c>
    </row>
    <row r="268" spans="3:7">
      <c r="C268" s="86" t="s">
        <v>568</v>
      </c>
      <c r="D268" s="89">
        <v>0.1004</v>
      </c>
      <c r="E268" s="82">
        <f t="shared" si="7"/>
        <v>6374.01</v>
      </c>
      <c r="F268" s="89">
        <v>0.1004</v>
      </c>
      <c r="G268" s="82">
        <f t="shared" si="8"/>
        <v>6614.01</v>
      </c>
    </row>
    <row r="269" spans="3:7">
      <c r="C269" s="86" t="s">
        <v>569</v>
      </c>
      <c r="D269" s="89">
        <v>0.13519999999999999</v>
      </c>
      <c r="E269" s="82">
        <f t="shared" si="7"/>
        <v>6505.38</v>
      </c>
      <c r="F269" s="89">
        <v>0.13519999999999999</v>
      </c>
      <c r="G269" s="82">
        <f t="shared" si="8"/>
        <v>6745.38</v>
      </c>
    </row>
    <row r="270" spans="3:7">
      <c r="C270" s="86" t="s">
        <v>570</v>
      </c>
      <c r="D270" s="89">
        <v>0.1113</v>
      </c>
      <c r="E270" s="82">
        <f t="shared" si="7"/>
        <v>6415.1575000000003</v>
      </c>
      <c r="F270" s="89">
        <v>9.4200000000000006E-2</v>
      </c>
      <c r="G270" s="82">
        <f t="shared" si="8"/>
        <v>6590.6049999999996</v>
      </c>
    </row>
    <row r="271" spans="3:7">
      <c r="C271" s="86" t="s">
        <v>571</v>
      </c>
      <c r="D271" s="89">
        <v>0.1128</v>
      </c>
      <c r="E271" s="82">
        <f t="shared" si="7"/>
        <v>6420.82</v>
      </c>
      <c r="F271" s="89">
        <v>0.1128</v>
      </c>
      <c r="G271" s="82">
        <f t="shared" si="8"/>
        <v>6660.82</v>
      </c>
    </row>
    <row r="272" spans="3:7">
      <c r="C272" s="86" t="s">
        <v>572</v>
      </c>
      <c r="D272" s="89">
        <v>0.13489999999999999</v>
      </c>
      <c r="E272" s="82">
        <f t="shared" si="7"/>
        <v>6504.2474999999995</v>
      </c>
      <c r="F272" s="89">
        <v>0.1099</v>
      </c>
      <c r="G272" s="82">
        <f t="shared" si="8"/>
        <v>6649.8725000000004</v>
      </c>
    </row>
    <row r="273" spans="3:7">
      <c r="C273" s="88" t="s">
        <v>573</v>
      </c>
      <c r="D273" s="89">
        <v>9.3299999999999994E-2</v>
      </c>
      <c r="E273" s="82">
        <f t="shared" ref="E273:E306" si="9">(D273*$J$19)+$J$18</f>
        <v>6347.2075000000004</v>
      </c>
      <c r="F273" s="89">
        <v>9.3299999999999994E-2</v>
      </c>
      <c r="G273" s="82">
        <f t="shared" si="8"/>
        <v>6587.2075000000004</v>
      </c>
    </row>
    <row r="274" spans="3:7">
      <c r="C274" s="87" t="s">
        <v>574</v>
      </c>
      <c r="D274" s="89">
        <v>0.12640000000000001</v>
      </c>
      <c r="E274" s="82">
        <f t="shared" si="9"/>
        <v>6472.16</v>
      </c>
      <c r="F274" s="89">
        <v>0.1166</v>
      </c>
      <c r="G274" s="82">
        <f t="shared" si="8"/>
        <v>6675.165</v>
      </c>
    </row>
    <row r="275" spans="3:7">
      <c r="C275" s="87" t="s">
        <v>575</v>
      </c>
      <c r="D275" s="89">
        <v>0.1452</v>
      </c>
      <c r="E275" s="82">
        <f t="shared" si="9"/>
        <v>6543.13</v>
      </c>
      <c r="F275" s="89">
        <v>0.1452</v>
      </c>
      <c r="G275" s="82">
        <f t="shared" ref="G275:G306" si="10">(F275*$K$19)+$K$18</f>
        <v>6783.13</v>
      </c>
    </row>
    <row r="276" spans="3:7">
      <c r="C276" s="86" t="s">
        <v>576</v>
      </c>
      <c r="D276" s="89">
        <v>0.1346</v>
      </c>
      <c r="E276" s="82">
        <f t="shared" si="9"/>
        <v>6503.1149999999998</v>
      </c>
      <c r="F276" s="89">
        <v>0.1346</v>
      </c>
      <c r="G276" s="82">
        <f t="shared" si="10"/>
        <v>6743.1149999999998</v>
      </c>
    </row>
    <row r="277" spans="3:7">
      <c r="C277" s="86" t="s">
        <v>577</v>
      </c>
      <c r="D277" s="89">
        <v>0.12640000000000001</v>
      </c>
      <c r="E277" s="82">
        <f t="shared" si="9"/>
        <v>6472.16</v>
      </c>
      <c r="F277" s="89">
        <v>0.1198</v>
      </c>
      <c r="G277" s="82">
        <f t="shared" si="10"/>
        <v>6687.2449999999999</v>
      </c>
    </row>
    <row r="278" spans="3:7">
      <c r="C278" s="86" t="s">
        <v>578</v>
      </c>
      <c r="D278" s="89">
        <v>0.34260000000000002</v>
      </c>
      <c r="E278" s="82">
        <f t="shared" si="9"/>
        <v>7288.3150000000005</v>
      </c>
      <c r="F278" s="89">
        <v>0.34260000000000002</v>
      </c>
      <c r="G278" s="82">
        <f t="shared" si="10"/>
        <v>7528.3150000000005</v>
      </c>
    </row>
    <row r="279" spans="3:7">
      <c r="C279" s="86" t="s">
        <v>579</v>
      </c>
      <c r="D279" s="89">
        <v>7.6700000000000004E-2</v>
      </c>
      <c r="E279" s="82">
        <f t="shared" si="9"/>
        <v>6284.5424999999996</v>
      </c>
      <c r="F279" s="89">
        <v>7.4399999999999994E-2</v>
      </c>
      <c r="G279" s="82">
        <f t="shared" si="10"/>
        <v>6515.86</v>
      </c>
    </row>
    <row r="280" spans="3:7">
      <c r="C280" s="86" t="s">
        <v>580</v>
      </c>
      <c r="D280" s="89">
        <v>0.1547</v>
      </c>
      <c r="E280" s="82">
        <f t="shared" si="9"/>
        <v>6578.9925000000003</v>
      </c>
      <c r="F280" s="89">
        <v>0.13489999999999999</v>
      </c>
      <c r="G280" s="82">
        <f t="shared" si="10"/>
        <v>6744.2474999999995</v>
      </c>
    </row>
    <row r="281" spans="3:7">
      <c r="C281" s="86" t="s">
        <v>581</v>
      </c>
      <c r="D281" s="89">
        <v>8.43E-2</v>
      </c>
      <c r="E281" s="82">
        <f t="shared" si="9"/>
        <v>6313.2325000000001</v>
      </c>
      <c r="F281" s="89">
        <v>8.43E-2</v>
      </c>
      <c r="G281" s="82">
        <f t="shared" si="10"/>
        <v>6553.2325000000001</v>
      </c>
    </row>
    <row r="282" spans="3:7">
      <c r="C282" s="86" t="s">
        <v>582</v>
      </c>
      <c r="D282" s="89">
        <v>0.2636</v>
      </c>
      <c r="E282" s="82">
        <f t="shared" si="9"/>
        <v>6990.09</v>
      </c>
      <c r="F282" s="89">
        <v>0.2636</v>
      </c>
      <c r="G282" s="82">
        <f t="shared" si="10"/>
        <v>7230.09</v>
      </c>
    </row>
    <row r="283" spans="3:7">
      <c r="C283" s="86" t="s">
        <v>583</v>
      </c>
      <c r="D283" s="89">
        <v>0.28620000000000001</v>
      </c>
      <c r="E283" s="82">
        <f t="shared" si="9"/>
        <v>7075.4049999999997</v>
      </c>
      <c r="F283" s="89">
        <v>0.26629999999999998</v>
      </c>
      <c r="G283" s="82">
        <f t="shared" si="10"/>
        <v>7240.2825000000003</v>
      </c>
    </row>
    <row r="284" spans="3:7">
      <c r="C284" s="86" t="s">
        <v>584</v>
      </c>
      <c r="D284" s="89">
        <v>0.22309999999999999</v>
      </c>
      <c r="E284" s="82">
        <f t="shared" si="9"/>
        <v>6837.2025000000003</v>
      </c>
      <c r="F284" s="89">
        <v>0.22059999999999999</v>
      </c>
      <c r="G284" s="82">
        <f t="shared" si="10"/>
        <v>7067.7650000000003</v>
      </c>
    </row>
    <row r="285" spans="3:7">
      <c r="C285" s="86" t="s">
        <v>585</v>
      </c>
      <c r="D285" s="89">
        <v>6.54E-2</v>
      </c>
      <c r="E285" s="82">
        <f t="shared" si="9"/>
        <v>6241.8850000000002</v>
      </c>
      <c r="F285" s="89">
        <v>6.54E-2</v>
      </c>
      <c r="G285" s="82">
        <f t="shared" si="10"/>
        <v>6481.8850000000002</v>
      </c>
    </row>
    <row r="286" spans="3:7">
      <c r="C286" s="86" t="s">
        <v>586</v>
      </c>
      <c r="D286" s="89">
        <v>8.7900000000000006E-2</v>
      </c>
      <c r="E286" s="82">
        <f t="shared" si="9"/>
        <v>6326.8225000000002</v>
      </c>
      <c r="F286" s="89">
        <v>8.7900000000000006E-2</v>
      </c>
      <c r="G286" s="82">
        <f t="shared" si="10"/>
        <v>6566.8225000000002</v>
      </c>
    </row>
    <row r="287" spans="3:7">
      <c r="C287" s="86" t="s">
        <v>587</v>
      </c>
      <c r="D287" s="89">
        <v>0.12820000000000001</v>
      </c>
      <c r="E287" s="82">
        <f t="shared" si="9"/>
        <v>6478.9549999999999</v>
      </c>
      <c r="F287" s="89">
        <v>0.1145</v>
      </c>
      <c r="G287" s="82">
        <f t="shared" si="10"/>
        <v>6667.2375000000002</v>
      </c>
    </row>
    <row r="288" spans="3:7">
      <c r="C288" s="86" t="s">
        <v>588</v>
      </c>
      <c r="D288" s="89">
        <v>0.2432</v>
      </c>
      <c r="E288" s="82">
        <f t="shared" si="9"/>
        <v>6913.08</v>
      </c>
      <c r="F288" s="89">
        <v>0.23200000000000001</v>
      </c>
      <c r="G288" s="82">
        <f t="shared" si="10"/>
        <v>7110.8</v>
      </c>
    </row>
    <row r="289" spans="3:7">
      <c r="C289" s="86" t="s">
        <v>589</v>
      </c>
      <c r="D289" s="89">
        <v>0.1241</v>
      </c>
      <c r="E289" s="82">
        <f t="shared" si="9"/>
        <v>6463.4775</v>
      </c>
      <c r="F289" s="89">
        <v>0.10340000000000001</v>
      </c>
      <c r="G289" s="82">
        <f t="shared" si="10"/>
        <v>6625.335</v>
      </c>
    </row>
    <row r="290" spans="3:7">
      <c r="C290" s="86" t="s">
        <v>590</v>
      </c>
      <c r="D290" s="89">
        <v>0.19209999999999999</v>
      </c>
      <c r="E290" s="82">
        <f t="shared" si="9"/>
        <v>6720.1774999999998</v>
      </c>
      <c r="F290" s="89">
        <v>0.19209999999999999</v>
      </c>
      <c r="G290" s="82">
        <f t="shared" si="10"/>
        <v>6960.1774999999998</v>
      </c>
    </row>
    <row r="291" spans="3:7">
      <c r="C291" s="87" t="s">
        <v>591</v>
      </c>
      <c r="D291" s="89">
        <v>0.1706</v>
      </c>
      <c r="E291" s="82">
        <f t="shared" si="9"/>
        <v>6639.0150000000003</v>
      </c>
      <c r="F291" s="89">
        <v>0.14910000000000001</v>
      </c>
      <c r="G291" s="82">
        <f t="shared" si="10"/>
        <v>6797.8525</v>
      </c>
    </row>
    <row r="292" spans="3:7">
      <c r="C292" s="86" t="s">
        <v>592</v>
      </c>
      <c r="D292" s="89">
        <v>7.4700000000000003E-2</v>
      </c>
      <c r="E292" s="82">
        <f t="shared" si="9"/>
        <v>6276.9925000000003</v>
      </c>
      <c r="F292" s="89">
        <v>7.4700000000000003E-2</v>
      </c>
      <c r="G292" s="82">
        <f t="shared" si="10"/>
        <v>6516.9925000000003</v>
      </c>
    </row>
    <row r="293" spans="3:7">
      <c r="C293" s="86" t="s">
        <v>593</v>
      </c>
      <c r="D293" s="89">
        <v>5.8599999999999999E-2</v>
      </c>
      <c r="E293" s="82">
        <f t="shared" si="9"/>
        <v>6216.2150000000001</v>
      </c>
      <c r="F293" s="89">
        <v>5.8599999999999999E-2</v>
      </c>
      <c r="G293" s="82">
        <f t="shared" si="10"/>
        <v>6456.2150000000001</v>
      </c>
    </row>
    <row r="294" spans="3:7">
      <c r="C294" s="86" t="s">
        <v>594</v>
      </c>
      <c r="D294" s="89">
        <v>0.1201</v>
      </c>
      <c r="E294" s="82">
        <f t="shared" si="9"/>
        <v>6448.3774999999996</v>
      </c>
      <c r="F294" s="89">
        <v>9.5100000000000004E-2</v>
      </c>
      <c r="G294" s="82">
        <f t="shared" si="10"/>
        <v>6594.0024999999996</v>
      </c>
    </row>
    <row r="295" spans="3:7">
      <c r="C295" s="86" t="s">
        <v>595</v>
      </c>
      <c r="D295" s="89">
        <v>0.20050000000000001</v>
      </c>
      <c r="E295" s="82">
        <f t="shared" si="9"/>
        <v>6751.8874999999998</v>
      </c>
      <c r="F295" s="89">
        <v>0.19339999999999999</v>
      </c>
      <c r="G295" s="82">
        <f t="shared" si="10"/>
        <v>6965.085</v>
      </c>
    </row>
    <row r="296" spans="3:7">
      <c r="C296" s="86" t="s">
        <v>596</v>
      </c>
      <c r="D296" s="89">
        <v>9.1899999999999996E-2</v>
      </c>
      <c r="E296" s="82">
        <f t="shared" si="9"/>
        <v>6341.9224999999997</v>
      </c>
      <c r="F296" s="89">
        <v>8.7499999999999994E-2</v>
      </c>
      <c r="G296" s="82">
        <f t="shared" si="10"/>
        <v>6565.3125</v>
      </c>
    </row>
    <row r="297" spans="3:7">
      <c r="C297" s="86" t="s">
        <v>597</v>
      </c>
      <c r="D297" s="89">
        <v>0.1244</v>
      </c>
      <c r="E297" s="82">
        <f t="shared" si="9"/>
        <v>6464.61</v>
      </c>
      <c r="F297" s="89">
        <v>0.1244</v>
      </c>
      <c r="G297" s="82">
        <f t="shared" si="10"/>
        <v>6704.61</v>
      </c>
    </row>
    <row r="298" spans="3:7">
      <c r="C298" s="86" t="s">
        <v>598</v>
      </c>
      <c r="D298" s="89">
        <v>0.16750000000000001</v>
      </c>
      <c r="E298" s="82">
        <f t="shared" si="9"/>
        <v>6627.3125</v>
      </c>
      <c r="F298" s="89">
        <v>0.1555</v>
      </c>
      <c r="G298" s="82">
        <f t="shared" si="10"/>
        <v>6822.0124999999998</v>
      </c>
    </row>
    <row r="299" spans="3:7">
      <c r="C299" s="86" t="s">
        <v>599</v>
      </c>
      <c r="D299" s="89">
        <v>4.3499999999999997E-2</v>
      </c>
      <c r="E299" s="82">
        <f t="shared" si="9"/>
        <v>6159.2124999999996</v>
      </c>
      <c r="F299" s="89">
        <v>4.3499999999999997E-2</v>
      </c>
      <c r="G299" s="82">
        <f t="shared" si="10"/>
        <v>6399.2124999999996</v>
      </c>
    </row>
    <row r="300" spans="3:7">
      <c r="C300" s="88" t="s">
        <v>600</v>
      </c>
      <c r="D300" s="89">
        <v>4.4900000000000002E-2</v>
      </c>
      <c r="E300" s="82">
        <f t="shared" si="9"/>
        <v>6164.4975000000004</v>
      </c>
      <c r="F300" s="89">
        <v>4.4900000000000002E-2</v>
      </c>
      <c r="G300" s="82">
        <f t="shared" si="10"/>
        <v>6404.4975000000004</v>
      </c>
    </row>
    <row r="301" spans="3:7">
      <c r="C301" s="86" t="s">
        <v>601</v>
      </c>
      <c r="D301" s="89">
        <v>0.2175</v>
      </c>
      <c r="E301" s="82">
        <f t="shared" si="9"/>
        <v>6816.0625</v>
      </c>
      <c r="F301" s="89">
        <v>0.1925</v>
      </c>
      <c r="G301" s="82">
        <f t="shared" si="10"/>
        <v>6961.6875</v>
      </c>
    </row>
    <row r="302" spans="3:7">
      <c r="C302" s="86" t="s">
        <v>602</v>
      </c>
      <c r="D302" s="89">
        <v>0.23089999999999999</v>
      </c>
      <c r="E302" s="82">
        <f t="shared" si="9"/>
        <v>6866.6475</v>
      </c>
      <c r="F302" s="89">
        <v>0.2059</v>
      </c>
      <c r="G302" s="82">
        <f t="shared" si="10"/>
        <v>7012.2725</v>
      </c>
    </row>
    <row r="303" spans="3:7">
      <c r="C303" s="88" t="s">
        <v>603</v>
      </c>
      <c r="D303" s="89">
        <v>0.12920000000000001</v>
      </c>
      <c r="E303" s="82">
        <f t="shared" si="9"/>
        <v>6482.73</v>
      </c>
      <c r="F303" s="89">
        <v>0.12920000000000001</v>
      </c>
      <c r="G303" s="82">
        <f t="shared" si="10"/>
        <v>6722.73</v>
      </c>
    </row>
    <row r="304" spans="3:7">
      <c r="C304" s="86" t="s">
        <v>604</v>
      </c>
      <c r="D304" s="89">
        <v>8.0699999999999994E-2</v>
      </c>
      <c r="E304" s="82">
        <f t="shared" si="9"/>
        <v>6299.6424999999999</v>
      </c>
      <c r="F304" s="89">
        <v>8.0699999999999994E-2</v>
      </c>
      <c r="G304" s="82">
        <f t="shared" si="10"/>
        <v>6539.6424999999999</v>
      </c>
    </row>
    <row r="305" spans="3:7">
      <c r="C305" s="86" t="s">
        <v>605</v>
      </c>
      <c r="D305" s="89">
        <v>0.1426</v>
      </c>
      <c r="E305" s="82">
        <f t="shared" si="9"/>
        <v>6533.3150000000005</v>
      </c>
      <c r="F305" s="89">
        <v>0.1426</v>
      </c>
      <c r="G305" s="82">
        <f t="shared" si="10"/>
        <v>6773.3150000000005</v>
      </c>
    </row>
    <row r="306" spans="3:7">
      <c r="C306" s="86" t="s">
        <v>606</v>
      </c>
      <c r="D306" s="89">
        <v>1.1900000000000001E-2</v>
      </c>
      <c r="E306" s="82">
        <f t="shared" si="9"/>
        <v>6039.9224999999997</v>
      </c>
      <c r="F306" s="89">
        <v>1.1900000000000001E-2</v>
      </c>
      <c r="G306" s="82">
        <f t="shared" si="10"/>
        <v>6279.9224999999997</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dxfId="62" priority="43">
      <formula>$T17="Closed"</formula>
    </cfRule>
  </conditionalFormatting>
  <conditionalFormatting sqref="C17">
    <cfRule type="expression" dxfId="61" priority="42">
      <formula>$T17="Closed"</formula>
    </cfRule>
  </conditionalFormatting>
  <conditionalFormatting sqref="C17:F17 D18:F18">
    <cfRule type="expression" dxfId="60" priority="41">
      <formula>$T17="Transferred"</formula>
    </cfRule>
  </conditionalFormatting>
  <conditionalFormatting sqref="C17">
    <cfRule type="expression" dxfId="59" priority="40">
      <formula>$T17="Closed"</formula>
    </cfRule>
  </conditionalFormatting>
  <conditionalFormatting sqref="D17:F17">
    <cfRule type="expression" dxfId="58" priority="39">
      <formula>$T17="Closed"</formula>
    </cfRule>
  </conditionalFormatting>
  <conditionalFormatting sqref="D44:F45 D29:F42">
    <cfRule type="expression" dxfId="57" priority="38">
      <formula>S24="Closed"</formula>
    </cfRule>
  </conditionalFormatting>
  <conditionalFormatting sqref="D44:F45 D25:F42">
    <cfRule type="expression" dxfId="56" priority="37">
      <formula>$T20="Closed"</formula>
    </cfRule>
  </conditionalFormatting>
  <conditionalFormatting sqref="D44:F45 D25:F42">
    <cfRule type="expression" dxfId="55" priority="36">
      <formula>$T20="Transferred"</formula>
    </cfRule>
  </conditionalFormatting>
  <conditionalFormatting sqref="D26:F26">
    <cfRule type="expression" dxfId="54" priority="35">
      <formula>$T21="Closed"</formula>
    </cfRule>
  </conditionalFormatting>
  <conditionalFormatting sqref="D46:F46">
    <cfRule type="expression" dxfId="53" priority="28">
      <formula>S41="Closed"</formula>
    </cfRule>
  </conditionalFormatting>
  <conditionalFormatting sqref="D46:F46">
    <cfRule type="expression" dxfId="52" priority="27">
      <formula>$T41="Closed"</formula>
    </cfRule>
  </conditionalFormatting>
  <conditionalFormatting sqref="D46:F46">
    <cfRule type="expression" dxfId="51" priority="26">
      <formula>$T41="Transferred"</formula>
    </cfRule>
  </conditionalFormatting>
  <conditionalFormatting sqref="D46:F46">
    <cfRule type="expression" dxfId="50" priority="25">
      <formula>S41="Closed"</formula>
    </cfRule>
  </conditionalFormatting>
  <conditionalFormatting sqref="D46:F46">
    <cfRule type="expression" dxfId="49" priority="24">
      <formula>$T41="Closed"</formula>
    </cfRule>
  </conditionalFormatting>
  <conditionalFormatting sqref="D46:F46">
    <cfRule type="expression" dxfId="48" priority="23">
      <formula>$T41="Transferred"</formula>
    </cfRule>
  </conditionalFormatting>
  <conditionalFormatting sqref="D46:F46">
    <cfRule type="expression" dxfId="47" priority="22">
      <formula>$T41="Closed"</formula>
    </cfRule>
  </conditionalFormatting>
  <conditionalFormatting sqref="D43:F43">
    <cfRule type="expression" dxfId="46" priority="45">
      <formula>S37="Closed"</formula>
    </cfRule>
  </conditionalFormatting>
  <conditionalFormatting sqref="D43:F43">
    <cfRule type="expression" dxfId="45" priority="46">
      <formula>$T37="Closed"</formula>
    </cfRule>
  </conditionalFormatting>
  <conditionalFormatting sqref="D43:F43">
    <cfRule type="expression" dxfId="44" priority="47">
      <formula>$T37="Transferred"</formula>
    </cfRule>
  </conditionalFormatting>
  <conditionalFormatting sqref="D20:F21">
    <cfRule type="expression" dxfId="43" priority="52">
      <formula>$T19="Closed"</formula>
    </cfRule>
  </conditionalFormatting>
  <conditionalFormatting sqref="D20:F21">
    <cfRule type="expression" dxfId="42" priority="53">
      <formula>$T19="Transferred"</formula>
    </cfRule>
  </conditionalFormatting>
  <conditionalFormatting sqref="D24:F24">
    <cfRule type="expression" dxfId="41" priority="55">
      <formula>$T20="Closed"</formula>
    </cfRule>
  </conditionalFormatting>
  <conditionalFormatting sqref="D24:F24">
    <cfRule type="expression" dxfId="40" priority="56">
      <formula>$T20="Transferred"</formula>
    </cfRule>
  </conditionalFormatting>
  <conditionalFormatting sqref="D23:F23">
    <cfRule type="expression" dxfId="39" priority="58">
      <formula>$T20="Closed"</formula>
    </cfRule>
  </conditionalFormatting>
  <conditionalFormatting sqref="D23:F23">
    <cfRule type="expression" dxfId="38" priority="59">
      <formula>$T20="Transferred"</formula>
    </cfRule>
  </conditionalFormatting>
  <conditionalFormatting sqref="D22:F22">
    <cfRule type="expression" dxfId="37" priority="61">
      <formula>$T20="Closed"</formula>
    </cfRule>
  </conditionalFormatting>
  <conditionalFormatting sqref="D22:F22">
    <cfRule type="expression" dxfId="36" priority="62">
      <formula>$T20="Transferred"</formula>
    </cfRule>
  </conditionalFormatting>
  <conditionalFormatting sqref="C17:F17 D18:F18 G19:G26">
    <cfRule type="expression" dxfId="35" priority="63">
      <formula>K3="Closed"</formula>
    </cfRule>
  </conditionalFormatting>
  <conditionalFormatting sqref="D25:F28">
    <cfRule type="expression" dxfId="34" priority="66">
      <formula>L6="Closed"</formula>
    </cfRule>
  </conditionalFormatting>
  <conditionalFormatting sqref="D20:F21">
    <cfRule type="expression" dxfId="33" priority="67">
      <formula>L5="Closed"</formula>
    </cfRule>
  </conditionalFormatting>
  <conditionalFormatting sqref="D24:F24">
    <cfRule type="expression" dxfId="32" priority="68">
      <formula>L6="Closed"</formula>
    </cfRule>
  </conditionalFormatting>
  <conditionalFormatting sqref="D23:F23">
    <cfRule type="expression" dxfId="31" priority="69">
      <formula>L6="Closed"</formula>
    </cfRule>
  </conditionalFormatting>
  <conditionalFormatting sqref="D22:F22">
    <cfRule type="expression" dxfId="30" priority="70">
      <formula>L6="Closed"</formula>
    </cfRule>
  </conditionalFormatting>
  <conditionalFormatting sqref="G18">
    <cfRule type="expression" dxfId="29" priority="11">
      <formula>$T18="Closed"</formula>
    </cfRule>
  </conditionalFormatting>
  <conditionalFormatting sqref="G18">
    <cfRule type="expression" dxfId="28" priority="10">
      <formula>$T18="Transferred"</formula>
    </cfRule>
  </conditionalFormatting>
  <conditionalFormatting sqref="F19">
    <cfRule type="expression" dxfId="27" priority="14">
      <formula>$T19="Closed"</formula>
    </cfRule>
  </conditionalFormatting>
  <conditionalFormatting sqref="F19">
    <cfRule type="expression" dxfId="26" priority="13">
      <formula>$T19="Transferred"</formula>
    </cfRule>
  </conditionalFormatting>
  <conditionalFormatting sqref="F19">
    <cfRule type="expression" dxfId="25" priority="15">
      <formula>N5="Closed"</formula>
    </cfRule>
  </conditionalFormatting>
  <conditionalFormatting sqref="G18">
    <cfRule type="expression" dxfId="24" priority="12">
      <formula>O4="Closed"</formula>
    </cfRule>
  </conditionalFormatting>
  <conditionalFormatting sqref="G19:G93 G109:G306 G95:G107">
    <cfRule type="expression" dxfId="23" priority="8">
      <formula>$T19="Closed"</formula>
    </cfRule>
  </conditionalFormatting>
  <conditionalFormatting sqref="G19:G93 G109:G306 G95:G107">
    <cfRule type="expression" dxfId="22" priority="7">
      <formula>$T19="Transferred"</formula>
    </cfRule>
  </conditionalFormatting>
  <conditionalFormatting sqref="G27:G93 G109:G306 G95:G107">
    <cfRule type="expression" dxfId="21" priority="9">
      <formula>O14="Closed"</formula>
    </cfRule>
  </conditionalFormatting>
  <conditionalFormatting sqref="G108">
    <cfRule type="expression" dxfId="20" priority="5">
      <formula>$T108="Closed"</formula>
    </cfRule>
  </conditionalFormatting>
  <conditionalFormatting sqref="G108">
    <cfRule type="expression" dxfId="19" priority="4">
      <formula>$T108="Transferred"</formula>
    </cfRule>
  </conditionalFormatting>
  <conditionalFormatting sqref="G108">
    <cfRule type="expression" dxfId="18" priority="6">
      <formula>O95="Closed"</formula>
    </cfRule>
  </conditionalFormatting>
  <conditionalFormatting sqref="G94">
    <cfRule type="expression" dxfId="17" priority="2">
      <formula>$T94="Closed"</formula>
    </cfRule>
  </conditionalFormatting>
  <conditionalFormatting sqref="G94">
    <cfRule type="expression" dxfId="16" priority="1">
      <formula>$T94="Transferred"</formula>
    </cfRule>
  </conditionalFormatting>
  <conditionalFormatting sqref="G94">
    <cfRule type="expression" dxfId="15" priority="3">
      <formula>O81="Closed"</formula>
    </cfRule>
  </conditionalFormatting>
  <pageMargins left="0.7" right="0.7" top="0.75" bottom="0.75" header="0.3" footer="0.3"/>
  <pageSetup orientation="portrait"/>
  <ignoredErrors>
    <ignoredError sqref="F18" calculatedColumn="1"/>
  </ignoredErrors>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CDAC53-A165-48F5-BB9D-B7438561EC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X</cp:lastModifiedBy>
  <cp:revision/>
  <dcterms:created xsi:type="dcterms:W3CDTF">2009-06-30T21:24:16Z</dcterms:created>
  <dcterms:modified xsi:type="dcterms:W3CDTF">2022-10-17T18:32:09Z</dcterms:modified>
  <cp:category/>
  <cp:contentStatus/>
</cp:coreProperties>
</file>