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10447"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_FV" hidden="1">#NAME?</definedName>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<sst xmlns="http://schemas.openxmlformats.org/spreadsheetml/2006/main" count="774" uniqueCount="615">
  <si>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</si>
  <si>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</si>
  <si>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</si>
  <si>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</si>
  <si>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</si>
  <si>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</si>
  <si>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</si>
  <si>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</si>
  <si>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</si>
  <si>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</si>
  <si>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</si>
  <si>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</si>
  <si>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</si>
  <si>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</si>
  <si>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</si>
  <si>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</si>
  <si>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</si>
  <si>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</si>
  <si>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</si>
  <si>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</si>
  <si>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</si>
  <si>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</si>
  <si>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</si>
  <si>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</si>
  <si>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</si>
  <si>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</si>
  <si>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</si>
  <si>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</si>
  <si>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</si>
  <si>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</si>
  <si>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</si>
  <si>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</si>
  <si>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</si>
  <si>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</si>
  <si>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</si>
  <si>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</si>
  <si>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</si>
  <si>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</si>
  <si>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</si>
  <si>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</si>
  <si>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</si>
  <si>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</si>
  <si>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</si>
  <si>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</si>
  <si>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</si>
  <si>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</si>
  <si>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</si>
  <si>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</si>
  <si>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</si>
  <si>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</si>
  <si>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</si>
  <si>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</si>
  <si>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</si>
  <si>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</si>
  <si>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</si>
  <si>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</si>
  <si>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</si>
  <si>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</si>
  <si>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</si>
  <si>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</si>
  <si>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</si>
  <si>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</si>
  <si>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</si>
  <si>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</si>
  <si>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</si>
  <si>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</si>
  <si>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</si>
  <si>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</si>
  <si>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</si>
  <si>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</si>
  <si>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</si>
  <si>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</si>
  <si>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</si>
  <si>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</si>
  <si>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</si>
  <si>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</si>
  <si>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</si>
  <si>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</si>
  <si>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</si>
  <si>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</si>
  <si>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</si>
  <si>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</si>
  <si>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</si>
  <si>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</si>
  <si>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</si>
  <si>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</si>
  <si>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</si>
  <si>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</si>
  <si>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</si>
  <si>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</si>
  <si>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</si>
  <si>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</si>
  <si>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</si>
  <si>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</si>
  <si>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</si>
  <si>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</si>
  <si>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</si>
  <si>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</si>
  <si>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</si>
  <si>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</si>
  <si>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</si>
  <si>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</si>
  <si>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</si>
  <si>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</si>
  <si>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</si>
  <si>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</si>
  <si>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</si>
  <si>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</si>
  <si>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</si>
  <si>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</si>
  <si>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</si>
  <si>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</si>
  <si>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</si>
  <si>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</si>
  <si>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</si>
  <si>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</si>
  <si>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</si>
  <si>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</si>
  <si>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</si>
  <si>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</si>
  <si>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</si>
  <si>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</si>
  <si>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</si>
  <si>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</si>
  <si>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</si>
  <si>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</si>
  <si>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</si>
  <si>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</si>
  <si>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</si>
  <si>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</si>
  <si>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</si>
  <si>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</si>
  <si>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</si>
  <si>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</si>
  <si>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</si>
  <si>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</si>
  <si>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</si>
  <si>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</si>
  <si>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</si>
  <si>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</si>
  <si>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</si>
  <si>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</si>
  <si>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</si>
  <si>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</si>
  <si>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</si>
  <si>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</si>
  <si>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</si>
  <si>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</si>
  <si>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</si>
  <si>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</si>
  <si>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</si>
  <si>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</si>
  <si>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</si>
  <si>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</si>
  <si>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</si>
  <si>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</si>
  <si>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</si>
  <si>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</si>
  <si>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</si>
  <si>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</si>
  <si>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</si>
  <si>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</si>
  <si>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</si>
  <si>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</si>
  <si>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</si>
  <si>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</si>
  <si>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</si>
  <si>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</si>
  <si>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</si>
  <si>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</si>
  <si>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</si>
  <si>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</si>
  <si>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</si>
  <si>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</si>
  <si>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</si>
  <si>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</si>
  <si>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</si>
  <si>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</si>
  <si>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</si>
  <si>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</si>
  <si>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</si>
  <si>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</si>
  <si>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</si>
  <si>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</si>
  <si>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</si>
  <si>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</si>
  <si>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</si>
  <si>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</si>
  <si>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</si>
  <si>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</si>
  <si>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</si>
  <si>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</si>
  <si>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</si>
  <si>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</si>
  <si>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</si>
  <si>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</si>
  <si>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</si>
  <si>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</si>
  <si>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</si>
  <si>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</si>
  <si>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</si>
  <si>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</si>
  <si>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</si>
  <si>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</si>
  <si>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</si>
  <si>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</si>
  <si>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</si>
  <si>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</si>
  <si>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</si>
  <si>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</si>
  <si>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</si>
  <si>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</si>
  <si>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</si>
  <si>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</si>
  <si>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</si>
  <si>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</si>
  <si>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</si>
  <si>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</si>
  <si>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</si>
  <si>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</si>
  <si>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</si>
  <si>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</si>
  <si>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</si>
  <si>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</si>
  <si>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</si>
  <si>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</si>
  <si>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</si>
  <si>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</si>
  <si>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</si>
  <si>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</si>
  <si>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</si>
  <si>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</si>
  <si>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</si>
  <si>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</si>
  <si>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</si>
  <si>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</si>
  <si>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</si>
  <si>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</si>
  <si>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</si>
  <si>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</si>
  <si>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</si>
  <si>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</si>
  <si>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</si>
  <si>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</si>
  <si>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</si>
  <si>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</si>
  <si>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</si>
  <si>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</si>
  <si>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</si>
  <si>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</si>
  <si>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</si>
  <si>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</si>
  <si>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</si>
  <si>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</si>
  <si>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</si>
  <si>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</si>
  <si>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</si>
  <si>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</si>
  <si>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</si>
  <si>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</si>
  <si>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</si>
  <si>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</si>
  <si>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</si>
  <si>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</si>
  <si>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</si>
  <si>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</si>
  <si>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</si>
  <si>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</si>
  <si>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</si>
  <si>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</si>
  <si>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</si>
  <si>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</si>
  <si>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</si>
  <si>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</si>
  <si>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</si>
  <si>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</si>
  <si>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</si>
  <si>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</si>
  <si>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</si>
  <si>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</si>
  <si>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</si>
  <si>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</si>
  <si>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</si>
  <si>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</si>
  <si>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</si>
  <si>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</si>
  <si>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</si>
  <si>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</si>
  <si>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</si>
  <si>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</si>
  <si>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</si>
  <si>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</si>
  <si>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</si>
  <si>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</si>
  <si>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</si>
  <si>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</si>
  <si>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</si>
  <si>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</si>
  <si>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</si>
  <si>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</si>
  <si>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</si>
  <si>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</si>
  <si>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</si>
  <si>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</si>
  <si>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</si>
  <si>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</si>
  <si>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</si>
  <si>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</si>
  <si>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</si>
  <si>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</si>
  <si>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</si>
  <si>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</si>
  <si>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</si>
  <si>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</si>
  <si>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</si>
  <si>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</si>
  <si>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</si>
  <si>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</si>
  <si>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</si>
  <si>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</si>
  <si>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</si>
  <si>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</si>
  <si>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</si>
  <si>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</si>
  <si>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</si>
  <si>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</si>
  <si>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</si>
  <si>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</si>
  <si>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</si>
  <si>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</si>
  <si>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</si>
  <si>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</si>
  <si>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</si>
  <si>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</si>
  <si>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</si>
  <si>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</si>
  <si>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</si>
  <si>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</si>
  <si>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</si>
  <si>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</si>
  <si>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</si>
  <si>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</si>
  <si>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</si>
  <si>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</si>
  <si>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</si>
  <si>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</si>
  <si>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</si>
  <si>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</si>
  <si>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</si>
  <si>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</si>
  <si>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</si>
  <si>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</si>
  <si>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</si>
  <si>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</si>
  <si>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</si>
  <si>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</si>
  <si>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</si>
  <si>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</si>
  <si>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</si>
  <si>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</si>
  <si>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</si>
  <si>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</si>
  <si>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</si>
  <si>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</si>
  <si>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</si>
  <si>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</si>
  <si>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</si>
  <si>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</si>
  <si>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</si>
  <si>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</si>
  <si>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</si>
  <si>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</si>
  <si>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</si>
  <si>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</si>
  <si>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</si>
  <si>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</si>
  <si>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</si>
  <si>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</si>
  <si>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</si>
  <si>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</si>
  <si>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</si>
  <si>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</si>
  <si>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</si>
  <si>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</si>
  <si>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</si>
  <si>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</si>
  <si>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</si>
  <si>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</si>
  <si>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</si>
  <si>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</si>
  <si>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</si>
  <si>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</si>
  <si>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</si>
  <si>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</si>
  <si>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</si>
  <si>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</si>
  <si>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</si>
  <si>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</si>
  <si>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</si>
  <si>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</si>
  <si>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</si>
  <si>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</si>
  <si>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</si>
  <si>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</si>
  <si>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</si>
  <si>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</si>
  <si>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</si>
  <si>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</si>
  <si>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</si>
  <si>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</si>
  <si>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</si>
  <si>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</si>
  <si>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</si>
  <si>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</si>
  <si>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</si>
  <si>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</si>
  <si>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</si>
  <si>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</si>
  <si>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</si>
  <si>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</si>
  <si>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</si>
  <si>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</si>
  <si>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</si>
  <si>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</si>
  <si>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</si>
  <si>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</si>
  <si>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</si>
  <si>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</si>
  <si>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</si>
  <si>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</si>
  <si>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</si>
  <si>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</si>
  <si>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</si>
  <si>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</si>
  <si>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</si>
  <si>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</si>
  <si>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</si>
  <si>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</si>
  <si>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</si>
  <si>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</si>
  <si>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</si>
  <si>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</si>
  <si>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</si>
  <si>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</si>
  <si>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</si>
  <si>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</si>
  <si>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</si>
  <si>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</si>
  <si>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</si>
  <si>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</si>
  <si>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</si>
  <si>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</si>
  <si>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</si>
  <si>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</si>
  <si>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</si>
  <si>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</si>
  <si>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</si>
  <si>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</si>
  <si>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</si>
  <si>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</si>
  <si>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</si>
  <si>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</si>
  <si>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</si>
  <si>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</si>
  <si>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</si>
  <si>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</si>
  <si>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</si>
  <si>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</si>
  <si>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</si>
  <si>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</si>
  <si>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</si>
  <si>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</si>
  <si>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</si>
  <si>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</si>
  <si>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</si>
  <si>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</si>
  <si>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</si>
  <si>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</si>
  <si>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</si>
  <si>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</si>
  <si>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</si>
  <si>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</si>
  <si>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</si>
  <si>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</si>
  <si>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</si>
  <si>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</si>
  <si>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</si>
  <si>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</si>
  <si>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</si>
  <si>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</si>
  <si>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</si>
  <si>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</si>
  <si>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</si>
  <si>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</si>
  <si>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</si>
  <si>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</si>
  <si>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</si>
  <si>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</si>
  <si>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</si>
  <si>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</si>
  <si>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</si>
  <si>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</si>
  <si>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</si>
  <si>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</si>
  <si>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</si>
  <si>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</si>
  <si>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</si>
  <si>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</si>
  <si>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</si>
  <si>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</si>
  <si>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</si>
  <si>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</si>
  <si>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</si>
  <si>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</si>
  <si>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</si>
  <si>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</si>
  <si>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</si>
  <si>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</si>
  <si>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</si>
  <si>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</si>
  <si>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</si>
  <si>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</si>
  <si>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</si>
  <si>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</si>
  <si>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</si>
  <si>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</si>
  <si>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</si>
  <si>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</si>
  <si>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</si>
  <si>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</si>
  <si>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</si>
  <si>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</si>
  <si>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</si>
  <si>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</si>
  <si>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</si>
  <si>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</si>
  <si>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</si>
  <si>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</si>
  <si>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</si>
  <si>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</si>
  <si>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</si>
  <si>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</si>
  <si>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</si>
  <si>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</si>
  <si>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</si>
  <si>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</si>
  <si>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</si>
  <si>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</si>
  <si>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</si>
  <si>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</si>
  <si>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</si>
  <si>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</si>
  <si>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</si>
  <si>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</si>
  <si>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</si>
  <si>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</si>
  <si>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</si>
  <si>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</si>
  <si>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</si>
  <si>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</si>
  <si>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</si>
  <si>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</si>
  <si>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</si>
  <si>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</si>
  <si>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</si>
  <si>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</si>
  <si>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</si>
  <si>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</si>
  <si>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</si>
  <si>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</si>
  <si>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</si>
  <si>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</si>
  <si>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</si>
  <si>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</si>
  <si>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</si>
  <si>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</si>
  <si>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</si>
  <si>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</si>
  <si>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</si>
  <si>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</si>
  <si>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</si>
  <si>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</si>
  <si>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</si>
  <si>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</si>
  <si>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</si>
  <si>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</si>
  <si>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</si>
  <si>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</si>
  <si>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</si>
  <si>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</si>
  <si>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Gary Middle College</t>
  </si>
  <si>
    <t>2021-2022</t>
  </si>
  <si>
    <t>Certified Math Instruction</t>
  </si>
  <si>
    <t>Certified ELA Instruction</t>
  </si>
  <si>
    <t>Certified Science Instruction</t>
  </si>
  <si>
    <t>Certified Social Science Instruction</t>
  </si>
  <si>
    <t>Teaching Assistants</t>
  </si>
  <si>
    <t>Principal</t>
  </si>
  <si>
    <t>Assistant Principal - Instruction</t>
  </si>
  <si>
    <t>Assistant Principal - Student Support</t>
  </si>
  <si>
    <t>Master Teacher</t>
  </si>
  <si>
    <t>College and Career Counselor</t>
  </si>
  <si>
    <t>Office Manager</t>
  </si>
  <si>
    <t>Registrar</t>
  </si>
  <si>
    <t>Custodial</t>
  </si>
  <si>
    <t>Bus Drivers</t>
  </si>
  <si>
    <t>Dean</t>
  </si>
  <si>
    <t>1) State K-12 funding.  (Spreadsheet not built to handle GMC's hybrid model.)</t>
  </si>
  <si>
    <t xml:space="preserve">Title II is combined with Title I
Federal Lunch Program runs through partner school, 21st Century @ Gary
Other Federal Revenues (ESSER, etc are TBD)
</t>
  </si>
  <si>
    <t>School does not run on donations
School does not collect student fees</t>
  </si>
  <si>
    <t xml:space="preserve">
Special education administration includes contracted Sped Dir, and all Sped-related services (PT, OT, etc.)
Other:  Child Care (third-party)</t>
  </si>
  <si>
    <t>ISCB fee may be low; spreadsheet not capturing full costs
School already has enough escrow funding set aside</t>
  </si>
  <si>
    <t>Board Expenses:  Boardable (document management) training, etc.</t>
  </si>
  <si>
    <t>4)  Master Teacher
5)  Office Manager, Registrar, bus drivers</t>
  </si>
  <si>
    <t>Lease:  Lease for original East space
West facility is fully-owned with no mortgage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</si>
</sst>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6">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3" fillId="0" borderId="0" xfId="0" applyNumberFormat="1" applyFont="1" applyAlignment="1">
      <alignment vertical="center"/>
    </xf>
    <xf numFmtId="0" fontId="69" fillId="35" borderId="31" xfId="0" applyFont="1" applyFill="1" applyBorder="1" applyAlignment="1">
      <alignment vertical="center"/>
    </xf>
    <xf numFmtId="0" fontId="32"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2"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2"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9" fillId="33" borderId="0" xfId="0" applyNumberFormat="1" applyFont="1" applyFill="1" applyBorder="1" applyAlignment="1">
      <alignment vertical="center"/>
    </xf>
    <xf numFmtId="44" fontId="69"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9"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9"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9" fillId="33" borderId="11" xfId="0" applyFont="1" applyFill="1" applyBorder="1" applyAlignment="1">
      <alignment horizontal="left" vertical="center"/>
    </xf>
    <xf numFmtId="0" fontId="69" fillId="33" borderId="36" xfId="0" applyFont="1" applyFill="1" applyBorder="1" applyAlignment="1" applyProtection="1">
      <alignment horizontal="left" vertical="center"/>
      <protection/>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8"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9"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9"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9"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7" xfId="44" applyNumberFormat="1" applyFont="1" applyFill="1" applyBorder="1" applyAlignment="1" applyProtection="1">
      <alignment vertical="center"/>
      <protection/>
    </xf>
    <xf numFmtId="49" fontId="79"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80" fillId="0" borderId="0" xfId="0" applyFont="1" applyFill="1" applyAlignment="1" applyProtection="1">
      <alignment vertical="center" wrapText="1"/>
      <protection/>
    </xf>
    <xf numFmtId="0" fontId="81"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9"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13" xfId="0" applyFont="1" applyFill="1" applyBorder="1" applyAlignment="1" applyProtection="1">
      <alignment vertical="center"/>
      <protection/>
    </xf>
    <xf numFmtId="0" fontId="79"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9" fillId="33" borderId="16"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79" fillId="33" borderId="16" xfId="0" applyFont="1" applyFill="1" applyBorder="1" applyAlignment="1" applyProtection="1">
      <alignment vertical="center"/>
      <protection/>
    </xf>
    <xf numFmtId="0" fontId="79"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9" fillId="33" borderId="0" xfId="0" applyFont="1" applyFill="1" applyBorder="1" applyAlignment="1">
      <alignment vertical="center" wrapText="1"/>
    </xf>
    <xf numFmtId="0" fontId="69"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locked="0"/>
    </xf>
    <xf numFmtId="0" fontId="79"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2"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6" fillId="33" borderId="0" xfId="0" applyFont="1" applyFill="1" applyBorder="1" applyAlignment="1" applyProtection="1">
      <alignment horizontal="right" vertical="center" indent="2"/>
      <protection/>
    </xf>
    <xf numFmtId="0" fontId="66"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8"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9" fillId="33" borderId="45"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0" fillId="0" borderId="0" xfId="0" applyFill="1" applyAlignment="1">
      <alignment vertical="center" wrapText="1"/>
    </xf>
    <xf numFmtId="0" fontId="69" fillId="0" borderId="0" xfId="0" applyFont="1" applyFill="1" applyAlignment="1">
      <alignment vertical="center" wrapText="1"/>
    </xf>
    <xf numFmtId="0" fontId="79"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6" fillId="0" borderId="0" xfId="0" applyFont="1" applyFill="1" applyBorder="1" applyAlignment="1" applyProtection="1">
      <alignment horizontal="right" vertical="center" indent="2"/>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44" fontId="0" fillId="34" borderId="27" xfId="44" applyNumberFormat="1" applyFont="1" applyFill="1" applyBorder="1" applyAlignment="1" applyProtection="1">
      <alignment vertical="center"/>
      <protection locked="0"/>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2"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8" fillId="33" borderId="46" xfId="0" applyFont="1" applyFill="1" applyBorder="1" applyAlignment="1" applyProtection="1">
      <alignment horizontal="center" vertical="center"/>
      <protection/>
    </xf>
    <xf numFmtId="0" fontId="66" fillId="0" borderId="47" xfId="0" applyFont="1" applyBorder="1" applyAlignment="1">
      <alignment horizontal="center" vertical="center"/>
    </xf>
    <xf numFmtId="0" fontId="66" fillId="0" borderId="48" xfId="0" applyFont="1" applyBorder="1" applyAlignment="1">
      <alignment horizontal="center"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8" fillId="33" borderId="49" xfId="0" applyNumberFormat="1" applyFont="1" applyFill="1" applyBorder="1" applyAlignment="1" applyProtection="1">
      <alignment horizontal="center" vertical="center"/>
      <protection/>
    </xf>
    <xf numFmtId="0" fontId="8" fillId="33" borderId="50" xfId="0" applyFont="1" applyFill="1" applyBorder="1" applyAlignment="1" applyProtection="1">
      <alignment horizontal="center" vertical="center"/>
      <protection/>
    </xf>
    <xf numFmtId="0" fontId="7" fillId="33" borderId="51"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0" fillId="33" borderId="53" xfId="0" applyNumberFormat="1" applyFont="1" applyFill="1" applyBorder="1" applyAlignment="1" applyProtection="1">
      <alignment vertical="center"/>
      <protection/>
    </xf>
    <xf numFmtId="0" fontId="0" fillId="33" borderId="54" xfId="0" applyFont="1" applyFill="1" applyBorder="1" applyAlignment="1" applyProtection="1">
      <alignment vertical="center"/>
      <protection/>
    </xf>
    <xf numFmtId="49" fontId="66" fillId="33" borderId="55" xfId="0" applyNumberFormat="1" applyFont="1" applyFill="1" applyBorder="1" applyAlignment="1" applyProtection="1">
      <alignment vertical="center"/>
      <protection/>
    </xf>
    <xf numFmtId="0" fontId="66" fillId="33" borderId="56"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8" fillId="33" borderId="57" xfId="0" applyNumberFormat="1"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8"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3" fillId="33" borderId="46" xfId="0" applyNumberFormat="1" applyFont="1" applyFill="1" applyBorder="1" applyAlignment="1" applyProtection="1">
      <alignment horizontal="center" vertical="center" wrapText="1"/>
      <protection/>
    </xf>
    <xf numFmtId="0" fontId="83"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61" xfId="0" applyNumberFormat="1" applyFont="1" applyFill="1" applyBorder="1" applyAlignment="1" applyProtection="1">
      <alignment horizontal="center" vertical="center"/>
      <protection/>
    </xf>
    <xf numFmtId="17" fontId="32" fillId="33" borderId="60" xfId="0" applyNumberFormat="1" applyFont="1" applyFill="1" applyBorder="1" applyAlignment="1" applyProtection="1">
      <alignment horizontal="center" vertical="center"/>
      <protection/>
    </xf>
    <xf numFmtId="17" fontId="32" fillId="33" borderId="62" xfId="0" applyNumberFormat="1" applyFont="1" applyFill="1" applyBorder="1" applyAlignment="1" applyProtection="1">
      <alignment horizontal="center" vertical="center"/>
      <protection/>
    </xf>
    <xf numFmtId="17" fontId="32" fillId="33" borderId="59"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9"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3" xfId="0" applyNumberFormat="1" applyFont="1" applyFill="1" applyBorder="1" applyAlignment="1" applyProtection="1">
      <alignment vertical="center"/>
      <protection/>
    </xf>
    <xf numFmtId="0" fontId="66" fillId="33" borderId="54" xfId="0" applyFont="1" applyFill="1" applyBorder="1" applyAlignment="1" applyProtection="1">
      <alignment vertical="center"/>
      <protection/>
    </xf>
    <xf numFmtId="49" fontId="0" fillId="0" borderId="53" xfId="0" applyNumberFormat="1" applyFont="1" applyBorder="1" applyAlignment="1">
      <alignment vertical="center"/>
    </xf>
    <xf numFmtId="0" fontId="0" fillId="0" borderId="54" xfId="0" applyFont="1" applyBorder="1" applyAlignment="1">
      <alignment vertical="center"/>
    </xf>
    <xf numFmtId="49" fontId="0" fillId="33" borderId="53" xfId="0" applyNumberFormat="1" applyFont="1" applyFill="1" applyBorder="1" applyAlignment="1">
      <alignment vertical="center"/>
    </xf>
    <xf numFmtId="0" fontId="0" fillId="33" borderId="54"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76" fillId="0" borderId="17" xfId="0" applyFont="1" applyBorder="1" applyAlignment="1">
      <alignment horizontal="center" vertical="center"/>
    </xf>
    <xf numFmtId="0" fontId="66"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0" fillId="0" borderId="0" xfId="0" applyFont="1" applyAlignment="1">
      <alignment vertical="center" wrapText="1"/>
    </xf>
    <xf numFmtId="0" fontId="79"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7" fillId="34" borderId="35" xfId="0" applyFont="1" applyFill="1" applyBorder="1" applyAlignment="1" applyProtection="1">
      <alignment vertical="center" wrapText="1"/>
      <protection locked="0"/>
    </xf>
    <xf numFmtId="0" fontId="84" fillId="0" borderId="0" xfId="0" applyFont="1" applyAlignment="1">
      <alignment horizontal="center" vertical="center"/>
    </xf>
    <xf numFmtId="0" fontId="69" fillId="0" borderId="0" xfId="0" applyFont="1" applyAlignment="1">
      <alignment horizontal="center" vertical="center"/>
    </xf>
    <xf numFmtId="0" fontId="83" fillId="33" borderId="20" xfId="0" applyFont="1" applyFill="1" applyBorder="1" applyAlignment="1">
      <alignment horizontal="center" vertical="center" wrapText="1"/>
    </xf>
    <xf numFmtId="0" fontId="85" fillId="33" borderId="17" xfId="0" applyFont="1" applyFill="1" applyBorder="1" applyAlignment="1">
      <alignment vertical="center" wrapText="1"/>
    </xf>
    <xf numFmtId="0" fontId="85" fillId="33" borderId="21" xfId="0" applyFont="1" applyFill="1" applyBorder="1" applyAlignment="1">
      <alignment vertical="center" wrapText="1"/>
    </xf>
    <xf numFmtId="0" fontId="71" fillId="33" borderId="15"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zoomScalePageLayoutView="0" workbookViewId="0" topLeftCell="A16">
      <selection activeCell="E8" sqref="E8"/>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
      <c r="A3" s="127"/>
      <c r="B3" s="134"/>
      <c r="C3" s="544" t="s">
        <v>461</v>
      </c>
      <c r="D3" s="545"/>
      <c r="E3" s="545"/>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590</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t="s">
        <v>591</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213</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46"/>
      <c r="I12" s="546"/>
      <c r="J12" s="546"/>
      <c r="K12" s="546"/>
      <c r="L12" s="546"/>
      <c r="M12" s="546"/>
      <c r="N12" s="546"/>
      <c r="O12" s="546"/>
      <c r="P12" s="546"/>
      <c r="Q12" s="546"/>
      <c r="R12" s="546"/>
      <c r="S12" s="546"/>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46"/>
      <c r="I14" s="546"/>
      <c r="J14" s="546"/>
      <c r="K14" s="546"/>
      <c r="L14" s="546"/>
      <c r="M14" s="546"/>
      <c r="N14" s="546"/>
      <c r="O14" s="546"/>
      <c r="P14" s="546"/>
      <c r="Q14" s="546"/>
      <c r="R14" s="546"/>
      <c r="S14" s="546"/>
      <c r="T14" s="130"/>
      <c r="U14" s="130"/>
      <c r="V14" s="130"/>
      <c r="W14" s="130"/>
      <c r="X14" s="130"/>
    </row>
    <row r="15" spans="1:24" ht="164.25" customHeight="1">
      <c r="A15" s="127"/>
      <c r="B15" s="134"/>
      <c r="C15" s="140"/>
      <c r="D15" s="162" t="s">
        <v>80</v>
      </c>
      <c r="E15" s="150" t="s">
        <v>426</v>
      </c>
      <c r="F15" s="135"/>
      <c r="H15" s="547"/>
      <c r="I15" s="547"/>
      <c r="J15" s="547"/>
      <c r="K15" s="547"/>
      <c r="L15" s="547"/>
      <c r="M15" s="547"/>
      <c r="N15" s="547"/>
      <c r="O15" s="547"/>
      <c r="P15" s="547"/>
      <c r="Q15" s="547"/>
      <c r="R15" s="547"/>
      <c r="S15" s="547"/>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4.25">
      <c r="A19" s="127"/>
      <c r="O19" s="130"/>
      <c r="P19" s="130"/>
      <c r="Q19" s="130"/>
      <c r="R19" s="130"/>
      <c r="S19" s="130"/>
      <c r="T19" s="130"/>
      <c r="U19" s="130"/>
      <c r="V19" s="130"/>
      <c r="W19" s="130"/>
      <c r="X19" s="130"/>
    </row>
    <row r="20" spans="15:24" ht="14.25">
      <c r="O20" s="130"/>
      <c r="P20" s="130"/>
      <c r="Q20" s="130"/>
      <c r="R20" s="130"/>
      <c r="S20" s="130"/>
      <c r="T20" s="130"/>
      <c r="U20" s="130"/>
      <c r="V20" s="130"/>
      <c r="W20" s="130"/>
      <c r="X20" s="130"/>
    </row>
    <row r="21" spans="8:24" ht="14.25">
      <c r="H21" s="130"/>
      <c r="I21" s="130"/>
      <c r="J21" s="130"/>
      <c r="K21" s="130"/>
      <c r="L21" s="130"/>
      <c r="M21" s="130"/>
      <c r="N21" s="130"/>
      <c r="O21" s="130"/>
      <c r="P21" s="130"/>
      <c r="Q21" s="130"/>
      <c r="R21" s="130"/>
      <c r="S21" s="130"/>
      <c r="T21" s="130"/>
      <c r="U21" s="130"/>
      <c r="V21" s="130"/>
      <c r="W21" s="130"/>
      <c r="X21" s="130"/>
    </row>
    <row r="22" spans="8:24" ht="14.25">
      <c r="H22" s="130"/>
      <c r="I22" s="130"/>
      <c r="J22" s="130"/>
      <c r="K22" s="130"/>
      <c r="L22" s="130"/>
      <c r="M22" s="130"/>
      <c r="N22" s="130"/>
      <c r="O22" s="130"/>
      <c r="P22" s="130"/>
      <c r="Q22" s="130"/>
      <c r="R22" s="130"/>
      <c r="S22" s="130"/>
      <c r="T22" s="130"/>
      <c r="U22" s="130"/>
      <c r="V22" s="130"/>
      <c r="W22" s="130"/>
      <c r="X22" s="130"/>
    </row>
    <row r="23" spans="8:24" ht="14.25">
      <c r="H23" s="130"/>
      <c r="I23" s="130"/>
      <c r="J23" s="130"/>
      <c r="K23" s="130"/>
      <c r="L23" s="130"/>
      <c r="M23" s="130"/>
      <c r="N23" s="130"/>
      <c r="O23" s="130"/>
      <c r="P23" s="130"/>
      <c r="Q23" s="130"/>
      <c r="R23" s="130"/>
      <c r="S23" s="130"/>
      <c r="T23" s="130"/>
      <c r="U23" s="130"/>
      <c r="V23" s="130"/>
      <c r="W23" s="130"/>
      <c r="X23" s="130"/>
    </row>
    <row r="24" spans="8:24" ht="14.25">
      <c r="H24" s="130"/>
      <c r="I24" s="130"/>
      <c r="J24" s="130"/>
      <c r="K24" s="130"/>
      <c r="L24" s="130"/>
      <c r="M24" s="130"/>
      <c r="N24" s="130"/>
      <c r="O24" s="130"/>
      <c r="P24" s="130"/>
      <c r="Q24" s="130"/>
      <c r="R24" s="130"/>
      <c r="S24" s="130"/>
      <c r="T24" s="130"/>
      <c r="U24" s="130"/>
      <c r="V24" s="130"/>
      <c r="W24" s="130"/>
      <c r="X24" s="130"/>
    </row>
    <row r="25" spans="8:24" ht="14.25">
      <c r="H25" s="130"/>
      <c r="I25" s="130"/>
      <c r="J25" s="130"/>
      <c r="K25" s="130"/>
      <c r="L25" s="130"/>
      <c r="M25" s="130"/>
      <c r="N25" s="130"/>
      <c r="O25" s="130"/>
      <c r="P25" s="130"/>
      <c r="Q25" s="130"/>
      <c r="R25" s="130"/>
      <c r="S25" s="130"/>
      <c r="T25" s="130"/>
      <c r="U25" s="130"/>
      <c r="V25" s="130"/>
      <c r="W25" s="130"/>
      <c r="X25" s="130"/>
    </row>
    <row r="26" spans="8:24" ht="14.25">
      <c r="H26" s="130"/>
      <c r="I26" s="130"/>
      <c r="J26" s="130"/>
      <c r="K26" s="130"/>
      <c r="L26" s="130"/>
      <c r="M26" s="130"/>
      <c r="N26" s="130"/>
      <c r="O26" s="130"/>
      <c r="P26" s="130"/>
      <c r="Q26" s="130"/>
      <c r="R26" s="130"/>
      <c r="S26" s="130"/>
      <c r="T26" s="130"/>
      <c r="U26" s="130"/>
      <c r="V26" s="130"/>
      <c r="W26" s="130"/>
      <c r="X26" s="130"/>
    </row>
    <row r="27" spans="8:24" ht="14.25">
      <c r="H27" s="130"/>
      <c r="I27" s="130"/>
      <c r="J27" s="171"/>
      <c r="K27" s="130"/>
      <c r="L27" s="130"/>
      <c r="M27" s="130"/>
      <c r="N27" s="130"/>
      <c r="O27" s="130"/>
      <c r="P27" s="130"/>
      <c r="Q27" s="130"/>
      <c r="R27" s="130"/>
      <c r="S27" s="130"/>
      <c r="T27" s="130"/>
      <c r="U27" s="130"/>
      <c r="V27" s="130"/>
      <c r="W27" s="130"/>
      <c r="X27" s="130"/>
    </row>
    <row r="28" spans="8:24" ht="14.25">
      <c r="H28" s="130"/>
      <c r="I28" s="130"/>
      <c r="J28" s="130"/>
      <c r="K28" s="130"/>
      <c r="L28" s="130"/>
      <c r="M28" s="130"/>
      <c r="N28" s="130"/>
      <c r="O28" s="130"/>
      <c r="P28" s="130"/>
      <c r="Q28" s="130"/>
      <c r="R28" s="130"/>
      <c r="S28" s="130"/>
      <c r="T28" s="130"/>
      <c r="U28" s="130"/>
      <c r="V28" s="130"/>
      <c r="W28" s="130"/>
      <c r="X28" s="130"/>
    </row>
    <row r="29" spans="8:24" ht="14.25">
      <c r="H29" s="130"/>
      <c r="I29" s="130"/>
      <c r="J29" s="130"/>
      <c r="K29" s="130"/>
      <c r="L29" s="130"/>
      <c r="M29" s="130"/>
      <c r="N29" s="130"/>
      <c r="O29" s="130"/>
      <c r="P29" s="130"/>
      <c r="Q29" s="130"/>
      <c r="R29" s="130"/>
      <c r="S29" s="130"/>
      <c r="T29" s="130"/>
      <c r="U29" s="130"/>
      <c r="V29" s="130"/>
      <c r="W29" s="130"/>
      <c r="X29" s="130"/>
    </row>
    <row r="30" spans="8:24" ht="14.25">
      <c r="H30" s="130"/>
      <c r="I30" s="130"/>
      <c r="J30" s="130"/>
      <c r="K30" s="130"/>
      <c r="L30" s="130"/>
      <c r="M30" s="130"/>
      <c r="N30" s="130"/>
      <c r="O30" s="130"/>
      <c r="P30" s="130"/>
      <c r="Q30" s="130"/>
      <c r="R30" s="130"/>
      <c r="S30" s="130"/>
      <c r="T30" s="130"/>
      <c r="U30" s="130"/>
      <c r="V30" s="130"/>
      <c r="W30" s="130"/>
      <c r="X30" s="130"/>
    </row>
    <row r="31" spans="8:24" ht="14.25">
      <c r="H31" s="130"/>
      <c r="I31" s="130"/>
      <c r="J31" s="130"/>
      <c r="K31" s="130"/>
      <c r="L31" s="130"/>
      <c r="M31" s="130"/>
      <c r="N31" s="130"/>
      <c r="O31" s="130"/>
      <c r="P31" s="130"/>
      <c r="Q31" s="130"/>
      <c r="R31" s="130"/>
      <c r="S31" s="130"/>
      <c r="T31" s="130"/>
      <c r="U31" s="130"/>
      <c r="V31" s="130"/>
      <c r="W31" s="130"/>
      <c r="X31" s="130"/>
    </row>
    <row r="32" spans="8:24" ht="14.25">
      <c r="H32" s="130"/>
      <c r="I32" s="130"/>
      <c r="J32" s="130"/>
      <c r="K32" s="130"/>
      <c r="L32" s="130"/>
      <c r="M32" s="130"/>
      <c r="N32" s="130"/>
      <c r="O32" s="130"/>
      <c r="P32" s="130"/>
      <c r="Q32" s="130"/>
      <c r="R32" s="130"/>
      <c r="S32" s="130"/>
      <c r="T32" s="130"/>
      <c r="U32" s="130"/>
      <c r="V32" s="130"/>
      <c r="W32" s="130"/>
      <c r="X32" s="130"/>
    </row>
    <row r="33" spans="8:24" ht="14.25">
      <c r="H33" s="130"/>
      <c r="I33" s="130"/>
      <c r="J33" s="130"/>
      <c r="K33" s="130"/>
      <c r="L33" s="130"/>
      <c r="M33" s="130"/>
      <c r="N33" s="130"/>
      <c r="O33" s="130"/>
      <c r="P33" s="130"/>
      <c r="Q33" s="130"/>
      <c r="R33" s="130"/>
      <c r="S33" s="130"/>
      <c r="T33" s="130"/>
      <c r="U33" s="130"/>
      <c r="V33" s="130"/>
      <c r="W33" s="130"/>
      <c r="X33" s="130"/>
    </row>
    <row r="34" spans="8:24" ht="14.25">
      <c r="H34" s="130"/>
      <c r="I34" s="130"/>
      <c r="J34" s="130"/>
      <c r="K34" s="130"/>
      <c r="L34" s="130"/>
      <c r="M34" s="130"/>
      <c r="N34" s="130"/>
      <c r="O34" s="130"/>
      <c r="P34" s="130"/>
      <c r="Q34" s="130"/>
      <c r="R34" s="130"/>
      <c r="S34" s="130"/>
      <c r="T34" s="130"/>
      <c r="U34" s="130"/>
      <c r="V34" s="130"/>
      <c r="W34" s="130"/>
      <c r="X34" s="130"/>
    </row>
    <row r="35" spans="8:24" ht="14.25">
      <c r="H35" s="130"/>
      <c r="I35" s="130"/>
      <c r="J35" s="130"/>
      <c r="K35" s="130"/>
      <c r="L35" s="130"/>
      <c r="M35" s="130"/>
      <c r="N35" s="130"/>
      <c r="O35" s="130"/>
      <c r="P35" s="130"/>
      <c r="Q35" s="130"/>
      <c r="R35" s="130"/>
      <c r="S35" s="130"/>
      <c r="T35" s="130"/>
      <c r="U35" s="130"/>
      <c r="V35" s="130"/>
      <c r="W35" s="130"/>
      <c r="X35" s="130"/>
    </row>
    <row r="36" spans="8:24" ht="14.25">
      <c r="H36" s="130"/>
      <c r="I36" s="130"/>
      <c r="J36" s="130"/>
      <c r="K36" s="130"/>
      <c r="L36" s="130"/>
      <c r="M36" s="130"/>
      <c r="N36" s="130"/>
      <c r="O36" s="130"/>
      <c r="P36" s="130"/>
      <c r="Q36" s="130"/>
      <c r="R36" s="130"/>
      <c r="S36" s="130"/>
      <c r="T36" s="130"/>
      <c r="U36" s="130"/>
      <c r="V36" s="130"/>
      <c r="W36" s="130"/>
      <c r="X36" s="130"/>
    </row>
    <row r="37" spans="8:24" ht="14.25">
      <c r="H37" s="130"/>
      <c r="I37" s="130"/>
      <c r="J37" s="130"/>
      <c r="K37" s="130"/>
      <c r="L37" s="130"/>
      <c r="M37" s="130"/>
      <c r="N37" s="130"/>
      <c r="O37" s="130"/>
      <c r="P37" s="130"/>
      <c r="Q37" s="130"/>
      <c r="R37" s="130"/>
      <c r="S37" s="130"/>
      <c r="T37" s="130"/>
      <c r="U37" s="130"/>
      <c r="V37" s="130"/>
      <c r="W37" s="130"/>
      <c r="X37" s="130"/>
    </row>
    <row r="38" spans="8:24" ht="14.25">
      <c r="H38" s="130"/>
      <c r="I38" s="130"/>
      <c r="J38" s="130"/>
      <c r="K38" s="130"/>
      <c r="L38" s="130"/>
      <c r="M38" s="130"/>
      <c r="N38" s="130"/>
      <c r="O38" s="130"/>
      <c r="P38" s="130"/>
      <c r="Q38" s="130"/>
      <c r="R38" s="130"/>
      <c r="S38" s="130"/>
      <c r="T38" s="130"/>
      <c r="U38" s="130"/>
      <c r="V38" s="130"/>
      <c r="W38" s="130"/>
      <c r="X38" s="130"/>
    </row>
    <row r="39" spans="8:24" ht="14.25">
      <c r="H39" s="130"/>
      <c r="I39" s="130"/>
      <c r="J39" s="130"/>
      <c r="K39" s="130"/>
      <c r="L39" s="130"/>
      <c r="M39" s="130"/>
      <c r="N39" s="130"/>
      <c r="O39" s="130"/>
      <c r="P39" s="130"/>
      <c r="Q39" s="130"/>
      <c r="R39" s="130"/>
      <c r="S39" s="130"/>
      <c r="T39" s="130"/>
      <c r="U39" s="130"/>
      <c r="V39" s="130"/>
      <c r="W39" s="130"/>
      <c r="X39" s="130"/>
    </row>
    <row r="40" spans="8:24" ht="14.25">
      <c r="H40" s="130"/>
      <c r="I40" s="130"/>
      <c r="J40" s="130"/>
      <c r="K40" s="130"/>
      <c r="L40" s="130"/>
      <c r="M40" s="130"/>
      <c r="N40" s="130"/>
      <c r="O40" s="130"/>
      <c r="P40" s="130"/>
      <c r="Q40" s="130"/>
      <c r="R40" s="130"/>
      <c r="S40" s="130"/>
      <c r="T40" s="130"/>
      <c r="U40" s="130"/>
      <c r="V40" s="130"/>
      <c r="W40" s="130"/>
      <c r="X40" s="130"/>
    </row>
    <row r="41" spans="8:24" ht="14.25">
      <c r="H41" s="130"/>
      <c r="I41" s="130"/>
      <c r="J41" s="130"/>
      <c r="K41" s="130"/>
      <c r="L41" s="130"/>
      <c r="M41" s="130"/>
      <c r="N41" s="130"/>
      <c r="O41" s="130"/>
      <c r="P41" s="130"/>
      <c r="Q41" s="130"/>
      <c r="R41" s="130"/>
      <c r="S41" s="130"/>
      <c r="T41" s="130"/>
      <c r="U41" s="130"/>
      <c r="V41" s="130"/>
      <c r="W41" s="130"/>
      <c r="X41" s="130"/>
    </row>
    <row r="42" spans="8:24" ht="14.25">
      <c r="H42" s="130"/>
      <c r="I42" s="130"/>
      <c r="J42" s="130"/>
      <c r="K42" s="130"/>
      <c r="L42" s="130"/>
      <c r="M42" s="130"/>
      <c r="N42" s="130"/>
      <c r="O42" s="130"/>
      <c r="P42" s="130"/>
      <c r="Q42" s="130"/>
      <c r="R42" s="130"/>
      <c r="S42" s="130"/>
      <c r="T42" s="130"/>
      <c r="U42" s="130"/>
      <c r="V42" s="130"/>
      <c r="W42" s="130"/>
      <c r="X42" s="130"/>
    </row>
    <row r="43" spans="8:24" ht="14.25">
      <c r="H43" s="130"/>
      <c r="I43" s="130"/>
      <c r="J43" s="130"/>
      <c r="K43" s="130"/>
      <c r="L43" s="130"/>
      <c r="M43" s="130"/>
      <c r="N43" s="130"/>
      <c r="O43" s="130"/>
      <c r="P43" s="130"/>
      <c r="Q43" s="130"/>
      <c r="R43" s="130"/>
      <c r="S43" s="130"/>
      <c r="T43" s="130"/>
      <c r="U43" s="130"/>
      <c r="V43" s="130"/>
      <c r="W43" s="130"/>
      <c r="X43" s="130"/>
    </row>
    <row r="44" spans="8:24" ht="14.25">
      <c r="H44" s="130"/>
      <c r="I44" s="130"/>
      <c r="J44" s="130"/>
      <c r="K44" s="130"/>
      <c r="L44" s="130"/>
      <c r="M44" s="130"/>
      <c r="N44" s="130"/>
      <c r="O44" s="130"/>
      <c r="P44" s="130"/>
      <c r="Q44" s="130"/>
      <c r="R44" s="130"/>
      <c r="S44" s="130"/>
      <c r="T44" s="130"/>
      <c r="U44" s="130"/>
      <c r="V44" s="130"/>
      <c r="W44" s="130"/>
      <c r="X44" s="130"/>
    </row>
    <row r="45" spans="8:24" ht="14.25">
      <c r="H45" s="130"/>
      <c r="I45" s="130"/>
      <c r="J45" s="130"/>
      <c r="K45" s="130"/>
      <c r="L45" s="130"/>
      <c r="M45" s="130"/>
      <c r="N45" s="130"/>
      <c r="O45" s="130"/>
      <c r="P45" s="130"/>
      <c r="Q45" s="130"/>
      <c r="R45" s="130"/>
      <c r="S45" s="130"/>
      <c r="T45" s="130"/>
      <c r="U45" s="130"/>
      <c r="V45" s="130"/>
      <c r="W45" s="130"/>
      <c r="X45" s="130"/>
    </row>
    <row r="46" spans="8:24" ht="14.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Y54"/>
  <sheetViews>
    <sheetView zoomScalePageLayoutView="0" workbookViewId="0" topLeftCell="A17">
      <selection activeCell="I39" sqref="I39"/>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
      <c r="B3" s="175"/>
      <c r="C3" s="176"/>
      <c r="D3" s="559" t="s">
        <v>84</v>
      </c>
      <c r="E3" s="560"/>
      <c r="F3" s="560"/>
      <c r="G3" s="560"/>
      <c r="H3" s="560"/>
      <c r="I3" s="560"/>
      <c r="J3" s="358"/>
      <c r="K3" s="358"/>
      <c r="L3" s="358"/>
      <c r="M3" s="358"/>
      <c r="N3" s="358"/>
      <c r="O3" s="358"/>
      <c r="P3" s="358"/>
      <c r="Q3" s="177"/>
      <c r="R3" s="178"/>
    </row>
    <row r="4" spans="2:18" ht="15" customHeight="1">
      <c r="B4" s="175"/>
      <c r="C4" s="176"/>
      <c r="D4" s="561" t="s">
        <v>85</v>
      </c>
      <c r="E4" s="562"/>
      <c r="F4" s="562"/>
      <c r="G4" s="562"/>
      <c r="H4" s="562"/>
      <c r="I4" s="562"/>
      <c r="J4" s="177"/>
      <c r="K4" s="177"/>
      <c r="L4" s="177"/>
      <c r="M4" s="177"/>
      <c r="N4" s="177"/>
      <c r="O4" s="177"/>
      <c r="P4" s="177"/>
      <c r="Q4" s="177"/>
      <c r="R4" s="178"/>
    </row>
    <row r="5" spans="2:18" ht="15" customHeight="1">
      <c r="B5" s="175"/>
      <c r="C5" s="176"/>
      <c r="D5" s="563"/>
      <c r="E5" s="564"/>
      <c r="F5" s="564"/>
      <c r="G5" s="564"/>
      <c r="H5" s="564"/>
      <c r="I5" s="564"/>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Gary Middle College</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2021-2022</v>
      </c>
      <c r="G7" s="182"/>
      <c r="H7" s="183"/>
      <c r="I7" s="186" t="s">
        <v>460</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Gary Community School Corp</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65" t="s">
        <v>437</v>
      </c>
      <c r="I10" s="566"/>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48" t="s">
        <v>476</v>
      </c>
      <c r="L13" s="549"/>
      <c r="M13" s="549"/>
      <c r="N13" s="549"/>
      <c r="O13" s="549"/>
      <c r="P13" s="549"/>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50" t="s">
        <v>587</v>
      </c>
      <c r="L15" s="551"/>
      <c r="M15" s="551"/>
      <c r="N15" s="551"/>
      <c r="O15" s="551"/>
      <c r="P15" s="552"/>
      <c r="Q15" s="347"/>
      <c r="R15" s="178"/>
    </row>
    <row r="16" spans="2:18" ht="15" customHeight="1">
      <c r="B16" s="175"/>
      <c r="C16" s="191"/>
      <c r="D16" s="194" t="s">
        <v>87</v>
      </c>
      <c r="E16" s="195"/>
      <c r="F16" s="195"/>
      <c r="G16" s="195"/>
      <c r="H16" s="195"/>
      <c r="I16" s="195"/>
      <c r="J16" s="363"/>
      <c r="K16" s="553"/>
      <c r="L16" s="554"/>
      <c r="M16" s="554"/>
      <c r="N16" s="554"/>
      <c r="O16" s="554"/>
      <c r="P16" s="555"/>
      <c r="Q16" s="347"/>
      <c r="R16" s="178"/>
    </row>
    <row r="17" spans="2:18" ht="15" customHeight="1">
      <c r="B17" s="175"/>
      <c r="C17" s="191"/>
      <c r="D17" s="194" t="s">
        <v>88</v>
      </c>
      <c r="E17" s="195"/>
      <c r="F17" s="195"/>
      <c r="G17" s="195"/>
      <c r="H17" s="195"/>
      <c r="I17" s="195"/>
      <c r="J17" s="363"/>
      <c r="K17" s="553"/>
      <c r="L17" s="554"/>
      <c r="M17" s="554"/>
      <c r="N17" s="554"/>
      <c r="O17" s="554"/>
      <c r="P17" s="555"/>
      <c r="Q17" s="347"/>
      <c r="R17" s="178"/>
    </row>
    <row r="18" spans="2:18" ht="15" customHeight="1">
      <c r="B18" s="175"/>
      <c r="C18" s="191"/>
      <c r="D18" s="194" t="s">
        <v>89</v>
      </c>
      <c r="E18" s="195"/>
      <c r="F18" s="195"/>
      <c r="G18" s="195"/>
      <c r="H18" s="195"/>
      <c r="I18" s="195"/>
      <c r="J18" s="363"/>
      <c r="K18" s="553"/>
      <c r="L18" s="554"/>
      <c r="M18" s="554"/>
      <c r="N18" s="554"/>
      <c r="O18" s="554"/>
      <c r="P18" s="555"/>
      <c r="Q18" s="347"/>
      <c r="R18" s="178"/>
    </row>
    <row r="19" spans="2:18" ht="15" customHeight="1">
      <c r="B19" s="175"/>
      <c r="C19" s="191"/>
      <c r="D19" s="194" t="s">
        <v>90</v>
      </c>
      <c r="E19" s="195"/>
      <c r="F19" s="195"/>
      <c r="G19" s="195"/>
      <c r="H19" s="195"/>
      <c r="I19" s="195"/>
      <c r="J19" s="363"/>
      <c r="K19" s="553"/>
      <c r="L19" s="554"/>
      <c r="M19" s="554"/>
      <c r="N19" s="554"/>
      <c r="O19" s="554"/>
      <c r="P19" s="555"/>
      <c r="Q19" s="347"/>
      <c r="R19" s="178"/>
    </row>
    <row r="20" spans="2:18" ht="15" customHeight="1">
      <c r="B20" s="175"/>
      <c r="C20" s="191"/>
      <c r="D20" s="194" t="s">
        <v>91</v>
      </c>
      <c r="E20" s="195"/>
      <c r="F20" s="195"/>
      <c r="G20" s="195"/>
      <c r="H20" s="195"/>
      <c r="I20" s="195"/>
      <c r="J20" s="363"/>
      <c r="K20" s="553"/>
      <c r="L20" s="554"/>
      <c r="M20" s="554"/>
      <c r="N20" s="554"/>
      <c r="O20" s="554"/>
      <c r="P20" s="555"/>
      <c r="Q20" s="347"/>
      <c r="R20" s="178"/>
    </row>
    <row r="21" spans="2:18" ht="15" customHeight="1">
      <c r="B21" s="175"/>
      <c r="C21" s="191"/>
      <c r="D21" s="194" t="s">
        <v>92</v>
      </c>
      <c r="E21" s="195"/>
      <c r="F21" s="195"/>
      <c r="G21" s="195"/>
      <c r="H21" s="195"/>
      <c r="I21" s="195"/>
      <c r="J21" s="363"/>
      <c r="K21" s="553"/>
      <c r="L21" s="554"/>
      <c r="M21" s="554"/>
      <c r="N21" s="554"/>
      <c r="O21" s="554"/>
      <c r="P21" s="555"/>
      <c r="Q21" s="347"/>
      <c r="R21" s="178"/>
    </row>
    <row r="22" spans="2:18" ht="15" customHeight="1">
      <c r="B22" s="175"/>
      <c r="C22" s="191"/>
      <c r="D22" s="194" t="s">
        <v>93</v>
      </c>
      <c r="E22" s="195"/>
      <c r="F22" s="195"/>
      <c r="G22" s="195"/>
      <c r="H22" s="195"/>
      <c r="I22" s="195"/>
      <c r="J22" s="363"/>
      <c r="K22" s="553"/>
      <c r="L22" s="554"/>
      <c r="M22" s="554"/>
      <c r="N22" s="554"/>
      <c r="O22" s="554"/>
      <c r="P22" s="555"/>
      <c r="Q22" s="347"/>
      <c r="R22" s="178"/>
    </row>
    <row r="23" spans="2:18" ht="15" customHeight="1">
      <c r="B23" s="175"/>
      <c r="C23" s="191"/>
      <c r="D23" s="194" t="s">
        <v>94</v>
      </c>
      <c r="E23" s="195"/>
      <c r="F23" s="195"/>
      <c r="G23" s="195"/>
      <c r="H23" s="195"/>
      <c r="I23" s="195"/>
      <c r="J23" s="363"/>
      <c r="K23" s="553"/>
      <c r="L23" s="554"/>
      <c r="M23" s="554"/>
      <c r="N23" s="554"/>
      <c r="O23" s="554"/>
      <c r="P23" s="555"/>
      <c r="Q23" s="347"/>
      <c r="R23" s="178"/>
    </row>
    <row r="24" spans="2:18" ht="15" customHeight="1">
      <c r="B24" s="175"/>
      <c r="C24" s="191"/>
      <c r="D24" s="194" t="s">
        <v>95</v>
      </c>
      <c r="E24" s="195">
        <v>50</v>
      </c>
      <c r="F24" s="195">
        <v>50</v>
      </c>
      <c r="G24" s="195">
        <v>60</v>
      </c>
      <c r="H24" s="195">
        <v>70</v>
      </c>
      <c r="I24" s="195">
        <v>80</v>
      </c>
      <c r="J24" s="363"/>
      <c r="K24" s="553"/>
      <c r="L24" s="554"/>
      <c r="M24" s="554"/>
      <c r="N24" s="554"/>
      <c r="O24" s="554"/>
      <c r="P24" s="555"/>
      <c r="Q24" s="347"/>
      <c r="R24" s="178"/>
    </row>
    <row r="25" spans="2:18" ht="15" customHeight="1">
      <c r="B25" s="175"/>
      <c r="C25" s="191"/>
      <c r="D25" s="194" t="s">
        <v>96</v>
      </c>
      <c r="E25" s="195">
        <v>35</v>
      </c>
      <c r="F25" s="195">
        <v>40</v>
      </c>
      <c r="G25" s="195">
        <v>50</v>
      </c>
      <c r="H25" s="195">
        <v>60</v>
      </c>
      <c r="I25" s="195">
        <v>70</v>
      </c>
      <c r="J25" s="363"/>
      <c r="K25" s="553"/>
      <c r="L25" s="554"/>
      <c r="M25" s="554"/>
      <c r="N25" s="554"/>
      <c r="O25" s="554"/>
      <c r="P25" s="555"/>
      <c r="Q25" s="347"/>
      <c r="R25" s="178"/>
    </row>
    <row r="26" spans="2:18" ht="15" customHeight="1">
      <c r="B26" s="175"/>
      <c r="C26" s="191"/>
      <c r="D26" s="194" t="s">
        <v>97</v>
      </c>
      <c r="E26" s="195">
        <v>35</v>
      </c>
      <c r="F26" s="195">
        <v>40</v>
      </c>
      <c r="G26" s="195">
        <v>50</v>
      </c>
      <c r="H26" s="195">
        <v>60</v>
      </c>
      <c r="I26" s="195">
        <v>70</v>
      </c>
      <c r="J26" s="363"/>
      <c r="K26" s="553"/>
      <c r="L26" s="554"/>
      <c r="M26" s="554"/>
      <c r="N26" s="554"/>
      <c r="O26" s="554"/>
      <c r="P26" s="555"/>
      <c r="Q26" s="347"/>
      <c r="R26" s="178"/>
    </row>
    <row r="27" spans="2:18" ht="15" customHeight="1">
      <c r="B27" s="175"/>
      <c r="C27" s="191"/>
      <c r="D27" s="194" t="s">
        <v>98</v>
      </c>
      <c r="E27" s="195">
        <v>35</v>
      </c>
      <c r="F27" s="195">
        <v>40</v>
      </c>
      <c r="G27" s="195">
        <v>50</v>
      </c>
      <c r="H27" s="195">
        <v>60</v>
      </c>
      <c r="I27" s="195">
        <v>70</v>
      </c>
      <c r="J27" s="363"/>
      <c r="K27" s="553"/>
      <c r="L27" s="554"/>
      <c r="M27" s="554"/>
      <c r="N27" s="554"/>
      <c r="O27" s="554"/>
      <c r="P27" s="555"/>
      <c r="Q27" s="347"/>
      <c r="R27" s="178"/>
    </row>
    <row r="28" spans="2:20" ht="15" customHeight="1">
      <c r="B28" s="175"/>
      <c r="C28" s="191"/>
      <c r="D28" s="344"/>
      <c r="E28" s="345"/>
      <c r="F28" s="345"/>
      <c r="G28" s="345"/>
      <c r="H28" s="345"/>
      <c r="I28" s="345"/>
      <c r="J28" s="359"/>
      <c r="K28" s="553"/>
      <c r="L28" s="554"/>
      <c r="M28" s="554"/>
      <c r="N28" s="554"/>
      <c r="O28" s="554"/>
      <c r="P28" s="555"/>
      <c r="Q28" s="347"/>
      <c r="R28" s="178"/>
      <c r="T28" s="357"/>
    </row>
    <row r="29" spans="2:18" ht="15" customHeight="1">
      <c r="B29" s="175"/>
      <c r="C29" s="191"/>
      <c r="D29" s="192" t="s">
        <v>447</v>
      </c>
      <c r="E29" s="371">
        <f>SUM(E15:E27)</f>
        <v>155</v>
      </c>
      <c r="F29" s="371">
        <f>SUM(F15:F27)</f>
        <v>170</v>
      </c>
      <c r="G29" s="371">
        <f>SUM(G15:G27)</f>
        <v>210</v>
      </c>
      <c r="H29" s="371">
        <f>SUM(H15:H27)</f>
        <v>250</v>
      </c>
      <c r="I29" s="371">
        <f>SUM(I15:I27)</f>
        <v>290</v>
      </c>
      <c r="J29" s="344"/>
      <c r="K29" s="553"/>
      <c r="L29" s="554"/>
      <c r="M29" s="554"/>
      <c r="N29" s="554"/>
      <c r="O29" s="554"/>
      <c r="P29" s="555"/>
      <c r="Q29" s="347"/>
      <c r="R29" s="178"/>
    </row>
    <row r="30" spans="2:18" ht="15" customHeight="1">
      <c r="B30" s="175"/>
      <c r="C30" s="346"/>
      <c r="D30" s="344"/>
      <c r="E30" s="359"/>
      <c r="F30" s="359"/>
      <c r="G30" s="359"/>
      <c r="H30" s="359"/>
      <c r="I30" s="359"/>
      <c r="J30" s="359"/>
      <c r="K30" s="553"/>
      <c r="L30" s="554"/>
      <c r="M30" s="554"/>
      <c r="N30" s="554"/>
      <c r="O30" s="554"/>
      <c r="P30" s="555"/>
      <c r="Q30" s="347"/>
      <c r="R30" s="178"/>
    </row>
    <row r="31" spans="2:23" ht="15" customHeight="1">
      <c r="B31" s="175"/>
      <c r="C31" s="191"/>
      <c r="D31" s="194" t="s">
        <v>468</v>
      </c>
      <c r="E31" s="343">
        <v>120</v>
      </c>
      <c r="F31" s="343">
        <v>140</v>
      </c>
      <c r="G31" s="343">
        <v>160</v>
      </c>
      <c r="H31" s="343">
        <v>180</v>
      </c>
      <c r="I31" s="343">
        <v>200</v>
      </c>
      <c r="J31" s="363"/>
      <c r="K31" s="553"/>
      <c r="L31" s="554"/>
      <c r="M31" s="554"/>
      <c r="N31" s="554"/>
      <c r="O31" s="554"/>
      <c r="P31" s="555"/>
      <c r="Q31" s="198"/>
      <c r="R31" s="178"/>
      <c r="W31" s="202"/>
    </row>
    <row r="32" spans="2:18" ht="15" customHeight="1">
      <c r="B32" s="175"/>
      <c r="C32" s="191"/>
      <c r="D32" s="344"/>
      <c r="E32" s="345"/>
      <c r="F32" s="345"/>
      <c r="G32" s="345"/>
      <c r="H32" s="345"/>
      <c r="I32" s="345"/>
      <c r="J32" s="359"/>
      <c r="K32" s="553"/>
      <c r="L32" s="554"/>
      <c r="M32" s="554"/>
      <c r="N32" s="554"/>
      <c r="O32" s="554"/>
      <c r="P32" s="555"/>
      <c r="Q32" s="198"/>
      <c r="R32" s="178"/>
    </row>
    <row r="33" spans="2:18" ht="15" customHeight="1">
      <c r="B33" s="175"/>
      <c r="C33" s="191"/>
      <c r="D33" s="192" t="s">
        <v>446</v>
      </c>
      <c r="E33" s="370">
        <f>E31</f>
        <v>120</v>
      </c>
      <c r="F33" s="370">
        <f>F31</f>
        <v>140</v>
      </c>
      <c r="G33" s="370">
        <f>G31</f>
        <v>160</v>
      </c>
      <c r="H33" s="370">
        <f>H31</f>
        <v>180</v>
      </c>
      <c r="I33" s="370">
        <f>I31</f>
        <v>200</v>
      </c>
      <c r="J33" s="197"/>
      <c r="K33" s="553"/>
      <c r="L33" s="554"/>
      <c r="M33" s="554"/>
      <c r="N33" s="554"/>
      <c r="O33" s="554"/>
      <c r="P33" s="555"/>
      <c r="Q33" s="198"/>
      <c r="R33" s="178"/>
    </row>
    <row r="34" spans="2:21" ht="15" customHeight="1">
      <c r="B34" s="175"/>
      <c r="C34" s="191"/>
      <c r="D34" s="196"/>
      <c r="E34" s="197"/>
      <c r="F34" s="197"/>
      <c r="G34" s="197"/>
      <c r="H34" s="197"/>
      <c r="I34" s="197"/>
      <c r="J34" s="197"/>
      <c r="K34" s="553"/>
      <c r="L34" s="554"/>
      <c r="M34" s="554"/>
      <c r="N34" s="554"/>
      <c r="O34" s="554"/>
      <c r="P34" s="555"/>
      <c r="Q34" s="198"/>
      <c r="R34" s="178"/>
      <c r="U34" s="202"/>
    </row>
    <row r="35" spans="2:25" ht="15" customHeight="1">
      <c r="B35" s="175"/>
      <c r="C35" s="191"/>
      <c r="D35" s="348" t="s">
        <v>471</v>
      </c>
      <c r="E35" s="197"/>
      <c r="F35" s="197"/>
      <c r="G35" s="197"/>
      <c r="H35" s="197"/>
      <c r="I35" s="351"/>
      <c r="J35" s="197"/>
      <c r="K35" s="553"/>
      <c r="L35" s="554"/>
      <c r="M35" s="554"/>
      <c r="N35" s="554"/>
      <c r="O35" s="554"/>
      <c r="P35" s="555"/>
      <c r="Q35" s="198"/>
      <c r="R35" s="178"/>
      <c r="X35" s="199"/>
      <c r="Y35" s="199"/>
    </row>
    <row r="36" spans="2:25" ht="14.25" customHeight="1">
      <c r="B36" s="175"/>
      <c r="C36" s="191"/>
      <c r="D36" s="349" t="s">
        <v>464</v>
      </c>
      <c r="E36" s="355">
        <v>0.1</v>
      </c>
      <c r="F36" s="355">
        <v>0.1</v>
      </c>
      <c r="G36" s="355">
        <v>0.1</v>
      </c>
      <c r="H36" s="355">
        <v>0.1</v>
      </c>
      <c r="I36" s="355">
        <v>0.1</v>
      </c>
      <c r="J36" s="364"/>
      <c r="K36" s="553"/>
      <c r="L36" s="554"/>
      <c r="M36" s="554"/>
      <c r="N36" s="554"/>
      <c r="O36" s="554"/>
      <c r="P36" s="555"/>
      <c r="Q36" s="198"/>
      <c r="R36" s="178"/>
      <c r="X36" s="200"/>
      <c r="Y36" s="200"/>
    </row>
    <row r="37" spans="2:25" ht="15" customHeight="1">
      <c r="B37" s="175"/>
      <c r="C37" s="191"/>
      <c r="D37" s="349" t="s">
        <v>465</v>
      </c>
      <c r="E37" s="355">
        <v>0</v>
      </c>
      <c r="F37" s="355">
        <v>0</v>
      </c>
      <c r="G37" s="355">
        <v>0</v>
      </c>
      <c r="H37" s="355">
        <v>0</v>
      </c>
      <c r="I37" s="355">
        <v>0</v>
      </c>
      <c r="J37" s="364"/>
      <c r="K37" s="553"/>
      <c r="L37" s="554"/>
      <c r="M37" s="554"/>
      <c r="N37" s="554"/>
      <c r="O37" s="554"/>
      <c r="P37" s="555"/>
      <c r="Q37" s="198"/>
      <c r="R37" s="178"/>
      <c r="U37" s="356"/>
      <c r="X37" s="199"/>
      <c r="Y37" s="199"/>
    </row>
    <row r="38" spans="2:25" ht="30.75" customHeight="1">
      <c r="B38" s="175"/>
      <c r="C38" s="191"/>
      <c r="D38" s="350" t="s">
        <v>470</v>
      </c>
      <c r="E38" s="355">
        <v>0.9</v>
      </c>
      <c r="F38" s="355">
        <v>0.9</v>
      </c>
      <c r="G38" s="355">
        <v>0.9</v>
      </c>
      <c r="H38" s="355">
        <v>0.9</v>
      </c>
      <c r="I38" s="355">
        <v>0.9</v>
      </c>
      <c r="J38" s="364"/>
      <c r="K38" s="553"/>
      <c r="L38" s="554"/>
      <c r="M38" s="554"/>
      <c r="N38" s="554"/>
      <c r="O38" s="554"/>
      <c r="P38" s="555"/>
      <c r="Q38" s="198"/>
      <c r="R38" s="178"/>
      <c r="X38" s="200"/>
      <c r="Y38" s="200"/>
    </row>
    <row r="39" spans="2:25" ht="15" customHeight="1">
      <c r="B39" s="175"/>
      <c r="C39" s="191"/>
      <c r="D39" s="349" t="s">
        <v>469</v>
      </c>
      <c r="E39" s="355">
        <v>0.15</v>
      </c>
      <c r="F39" s="355">
        <v>0.15</v>
      </c>
      <c r="G39" s="355">
        <v>0.15</v>
      </c>
      <c r="H39" s="355">
        <v>0.15</v>
      </c>
      <c r="I39" s="355">
        <v>0.15</v>
      </c>
      <c r="J39" s="364"/>
      <c r="K39" s="553"/>
      <c r="L39" s="554"/>
      <c r="M39" s="554"/>
      <c r="N39" s="554"/>
      <c r="O39" s="554"/>
      <c r="P39" s="555"/>
      <c r="Q39" s="198"/>
      <c r="R39" s="178"/>
      <c r="Y39" s="200"/>
    </row>
    <row r="40" spans="2:25" ht="15" customHeight="1">
      <c r="B40" s="175"/>
      <c r="C40" s="191"/>
      <c r="D40" s="349"/>
      <c r="E40" s="197"/>
      <c r="F40" s="197"/>
      <c r="G40" s="197"/>
      <c r="H40" s="197"/>
      <c r="I40" s="197"/>
      <c r="J40" s="197"/>
      <c r="K40" s="553"/>
      <c r="L40" s="554"/>
      <c r="M40" s="554"/>
      <c r="N40" s="554"/>
      <c r="O40" s="554"/>
      <c r="P40" s="555"/>
      <c r="Q40" s="198"/>
      <c r="R40" s="178"/>
      <c r="V40" s="202"/>
      <c r="Y40" s="200"/>
    </row>
    <row r="41" spans="2:25" ht="15" customHeight="1">
      <c r="B41" s="175"/>
      <c r="C41" s="191"/>
      <c r="D41" s="196" t="s">
        <v>466</v>
      </c>
      <c r="E41" s="201">
        <f>(((E29*E39)*(CONTROL!$K$18*0.85))+((E29*(1-E39))*CONTROL!$K$18))+(E29*((_xlfn.IFERROR(VLOOKUP('1. Instructions'!$E$8,CONTROL!$C$18:$G$306,4,FALSE),0))*CONTROL!$K$19))</f>
        <v>1187907.6</v>
      </c>
      <c r="F41" s="201">
        <f>(((F29*F39)*(CONTROL!$K$18*0.85))+((F29*(1-F39))*CONTROL!$K$18))+(F29*((_xlfn.IFERROR(VLOOKUP('1. Instructions'!$E$8,CONTROL!$C$18:$G$306,4,FALSE),0))*CONTROL!$K$19))</f>
        <v>1302866.4000000001</v>
      </c>
      <c r="G41" s="201">
        <f>(((G29*G39)*(CONTROL!$K$18*0.85))+((G29*(1-G39))*CONTROL!$K$18))+(G29*((_xlfn.IFERROR(VLOOKUP('1. Instructions'!$E$8,CONTROL!$C$18:$G$306,4,FALSE),0))*CONTROL!$K$19))</f>
        <v>1609423.2</v>
      </c>
      <c r="H41" s="201">
        <f>(((H29*H39)*(CONTROL!$K$18*0.85))+((H29*(1-H39))*CONTROL!$K$18))+(H29*((_xlfn.IFERROR(VLOOKUP('1. Instructions'!$E$8,CONTROL!$C$18:$G$306,4,FALSE),0))*CONTROL!$K$19))</f>
        <v>1915980</v>
      </c>
      <c r="I41" s="201">
        <f>(((I29*I39)*(CONTROL!$K$18*0.85))+((I29*(1-I39))*CONTROL!$K$18))+(I29*((_xlfn.IFERROR(VLOOKUP('1. Instructions'!$E$8,CONTROL!$C$18:$G$306,4,FALSE),0))*CONTROL!$K$19))</f>
        <v>2222536.8</v>
      </c>
      <c r="J41" s="365"/>
      <c r="K41" s="553"/>
      <c r="L41" s="554"/>
      <c r="M41" s="554"/>
      <c r="N41" s="554"/>
      <c r="O41" s="554"/>
      <c r="P41" s="555"/>
      <c r="Q41" s="198"/>
      <c r="R41" s="178"/>
      <c r="X41" s="200"/>
      <c r="Y41" s="200"/>
    </row>
    <row r="42" spans="2:25" ht="15" customHeight="1">
      <c r="B42" s="175"/>
      <c r="C42" s="191"/>
      <c r="E42" s="352"/>
      <c r="F42" s="352"/>
      <c r="G42" s="352"/>
      <c r="H42" s="352"/>
      <c r="I42" s="352"/>
      <c r="J42" s="365"/>
      <c r="K42" s="553"/>
      <c r="L42" s="554"/>
      <c r="M42" s="554"/>
      <c r="N42" s="554"/>
      <c r="O42" s="554"/>
      <c r="P42" s="555"/>
      <c r="Q42" s="198"/>
      <c r="R42" s="178"/>
      <c r="X42" s="200"/>
      <c r="Y42" s="200"/>
    </row>
    <row r="43" spans="2:25" ht="15" customHeight="1">
      <c r="B43" s="175"/>
      <c r="C43" s="191"/>
      <c r="D43" s="196" t="s">
        <v>467</v>
      </c>
      <c r="E43" s="201">
        <f>CONTROL!$K$22*E33</f>
        <v>810000</v>
      </c>
      <c r="F43" s="201">
        <f>CONTROL!$K$22*F33</f>
        <v>945000</v>
      </c>
      <c r="G43" s="201">
        <f>CONTROL!$K$22*G33</f>
        <v>1080000</v>
      </c>
      <c r="H43" s="201">
        <f>CONTROL!$K$22*H33</f>
        <v>1215000</v>
      </c>
      <c r="I43" s="201">
        <f>CONTROL!$K$22*I33</f>
        <v>1350000</v>
      </c>
      <c r="J43" s="366"/>
      <c r="K43" s="553"/>
      <c r="L43" s="554"/>
      <c r="M43" s="554"/>
      <c r="N43" s="554"/>
      <c r="O43" s="554"/>
      <c r="P43" s="555"/>
      <c r="Q43" s="198"/>
      <c r="R43" s="178"/>
      <c r="X43" s="200"/>
      <c r="Y43" s="200"/>
    </row>
    <row r="44" spans="2:25" ht="15" customHeight="1">
      <c r="B44" s="175"/>
      <c r="C44" s="191"/>
      <c r="D44" s="196"/>
      <c r="E44" s="197"/>
      <c r="F44" s="197"/>
      <c r="G44" s="197"/>
      <c r="H44" s="197"/>
      <c r="I44" s="197"/>
      <c r="J44" s="197"/>
      <c r="K44" s="553"/>
      <c r="L44" s="554"/>
      <c r="M44" s="554"/>
      <c r="N44" s="554"/>
      <c r="O44" s="554"/>
      <c r="P44" s="555"/>
      <c r="Q44" s="198"/>
      <c r="R44" s="178"/>
      <c r="X44" s="200"/>
      <c r="Y44" s="200"/>
    </row>
    <row r="45" spans="2:25" ht="15" customHeight="1">
      <c r="B45" s="175"/>
      <c r="C45" s="191"/>
      <c r="D45" s="368"/>
      <c r="E45" s="528" t="str">
        <f>IF(AND((SUM(E41:I41)&gt;0),(SUM(E43:I43)&gt;0)),"ERROR: Please complete EITHER Rows 15-27 OR Row 31, not both.","")</f>
        <v>ERROR: Please complete EITHER Rows 15-27 OR Row 31, not both.</v>
      </c>
      <c r="F45" s="140"/>
      <c r="G45" s="140"/>
      <c r="H45" s="140"/>
      <c r="I45" s="140"/>
      <c r="J45" s="367"/>
      <c r="K45" s="553"/>
      <c r="L45" s="554"/>
      <c r="M45" s="554"/>
      <c r="N45" s="554"/>
      <c r="O45" s="554"/>
      <c r="P45" s="555"/>
      <c r="Q45" s="198"/>
      <c r="R45" s="178"/>
      <c r="X45" s="200"/>
      <c r="Y45" s="200"/>
    </row>
    <row r="46" spans="2:25" ht="15" customHeight="1">
      <c r="B46" s="175"/>
      <c r="C46" s="191"/>
      <c r="D46" s="176"/>
      <c r="E46" s="176"/>
      <c r="F46" s="176"/>
      <c r="G46" s="176"/>
      <c r="H46" s="176"/>
      <c r="I46" s="176"/>
      <c r="J46" s="367"/>
      <c r="K46" s="553"/>
      <c r="L46" s="554"/>
      <c r="M46" s="554"/>
      <c r="N46" s="554"/>
      <c r="O46" s="554"/>
      <c r="P46" s="555"/>
      <c r="Q46" s="198"/>
      <c r="R46" s="178"/>
      <c r="X46" s="200"/>
      <c r="Y46" s="200"/>
    </row>
    <row r="47" spans="2:25" ht="15" customHeight="1">
      <c r="B47" s="175"/>
      <c r="C47" s="191"/>
      <c r="D47" s="352"/>
      <c r="E47" s="352"/>
      <c r="F47" s="352"/>
      <c r="G47" s="352"/>
      <c r="H47" s="352"/>
      <c r="I47" s="352"/>
      <c r="J47" s="367"/>
      <c r="K47" s="553"/>
      <c r="L47" s="554"/>
      <c r="M47" s="554"/>
      <c r="N47" s="554"/>
      <c r="O47" s="554"/>
      <c r="P47" s="555"/>
      <c r="Q47" s="198"/>
      <c r="R47" s="178"/>
      <c r="X47" s="200"/>
      <c r="Y47" s="200"/>
    </row>
    <row r="48" spans="2:25" ht="15" customHeight="1">
      <c r="B48" s="175"/>
      <c r="C48" s="191"/>
      <c r="D48" s="352"/>
      <c r="E48" s="352"/>
      <c r="F48" s="352"/>
      <c r="G48" s="352"/>
      <c r="H48" s="352"/>
      <c r="I48" s="352"/>
      <c r="J48" s="367"/>
      <c r="K48" s="553"/>
      <c r="L48" s="554"/>
      <c r="M48" s="554"/>
      <c r="N48" s="554"/>
      <c r="O48" s="554"/>
      <c r="P48" s="555"/>
      <c r="Q48" s="198"/>
      <c r="R48" s="178"/>
      <c r="X48" s="200"/>
      <c r="Y48" s="200"/>
    </row>
    <row r="49" spans="2:25" ht="15" customHeight="1">
      <c r="B49" s="175"/>
      <c r="C49" s="191"/>
      <c r="D49" s="352"/>
      <c r="E49" s="352"/>
      <c r="F49" s="352"/>
      <c r="G49" s="352"/>
      <c r="H49" s="352"/>
      <c r="I49" s="352"/>
      <c r="J49" s="367"/>
      <c r="K49" s="553"/>
      <c r="L49" s="554"/>
      <c r="M49" s="554"/>
      <c r="N49" s="554"/>
      <c r="O49" s="554"/>
      <c r="P49" s="555"/>
      <c r="Q49" s="198"/>
      <c r="R49" s="178"/>
      <c r="X49" s="200"/>
      <c r="Y49" s="200"/>
    </row>
    <row r="50" spans="2:25" ht="15" customHeight="1">
      <c r="B50" s="175"/>
      <c r="C50" s="191"/>
      <c r="D50" s="352"/>
      <c r="E50" s="352"/>
      <c r="F50" s="352"/>
      <c r="G50" s="352"/>
      <c r="H50" s="352"/>
      <c r="I50" s="352"/>
      <c r="J50" s="367"/>
      <c r="K50" s="553"/>
      <c r="L50" s="554"/>
      <c r="M50" s="554"/>
      <c r="N50" s="554"/>
      <c r="O50" s="554"/>
      <c r="P50" s="555"/>
      <c r="Q50" s="198"/>
      <c r="R50" s="178"/>
      <c r="X50" s="200"/>
      <c r="Y50" s="200"/>
    </row>
    <row r="51" spans="2:25" ht="15" customHeight="1">
      <c r="B51" s="175"/>
      <c r="C51" s="191"/>
      <c r="D51" s="352"/>
      <c r="E51" s="352"/>
      <c r="F51" s="352"/>
      <c r="G51" s="352"/>
      <c r="H51" s="352"/>
      <c r="I51" s="352"/>
      <c r="J51" s="367"/>
      <c r="K51" s="556"/>
      <c r="L51" s="557"/>
      <c r="M51" s="557"/>
      <c r="N51" s="557"/>
      <c r="O51" s="557"/>
      <c r="P51" s="558"/>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4.2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AV140"/>
  <sheetViews>
    <sheetView zoomScale="75" zoomScaleNormal="75" zoomScalePageLayoutView="0" workbookViewId="0" topLeftCell="L40">
      <selection activeCell="N37" sqref="N37"/>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6" t="s">
        <v>123</v>
      </c>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213"/>
    </row>
    <row r="3" spans="2:30" ht="15" customHeight="1">
      <c r="B3" s="216"/>
      <c r="C3" s="217"/>
      <c r="D3" s="218" t="s">
        <v>81</v>
      </c>
      <c r="E3" s="218"/>
      <c r="F3" s="219" t="str">
        <f>IF(ISBLANK('1. Instructions'!E6),"Please enter School Name on Tab 1.",'1. Instructions'!E6)</f>
        <v>Gary Middle College</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2021-2022</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67" t="s">
        <v>504</v>
      </c>
      <c r="D6" s="568"/>
      <c r="E6" s="568"/>
      <c r="F6" s="568"/>
      <c r="G6" s="568"/>
      <c r="H6" s="568"/>
      <c r="I6" s="568"/>
      <c r="J6" s="568"/>
      <c r="K6" s="568"/>
      <c r="L6" s="568"/>
      <c r="M6" s="568"/>
      <c r="N6" s="568"/>
      <c r="O6" s="568"/>
      <c r="P6" s="568"/>
      <c r="Q6" s="568"/>
      <c r="R6" s="568"/>
      <c r="S6" s="568"/>
      <c r="T6" s="568"/>
      <c r="U6" s="569"/>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87" t="s">
        <v>505</v>
      </c>
      <c r="E8" s="588"/>
      <c r="F8" s="588"/>
      <c r="G8" s="588"/>
      <c r="H8" s="588"/>
      <c r="I8" s="588"/>
      <c r="J8" s="588"/>
      <c r="K8" s="588"/>
      <c r="L8" s="588"/>
      <c r="M8" s="588"/>
      <c r="N8" s="588"/>
      <c r="O8" s="588"/>
      <c r="P8" s="589"/>
      <c r="Q8" s="217"/>
      <c r="R8" s="217"/>
      <c r="S8" s="217"/>
      <c r="T8" s="217"/>
      <c r="U8" s="217"/>
      <c r="V8" s="217"/>
      <c r="W8" s="217"/>
      <c r="X8" s="217"/>
      <c r="Y8" s="217"/>
      <c r="Z8" s="217"/>
      <c r="AA8" s="217"/>
      <c r="AB8" s="217"/>
      <c r="AC8" s="217"/>
      <c r="AD8" s="221"/>
    </row>
    <row r="9" spans="2:32" ht="24" customHeight="1">
      <c r="B9" s="216"/>
      <c r="C9" s="217"/>
      <c r="D9" s="590"/>
      <c r="E9" s="591"/>
      <c r="F9" s="591"/>
      <c r="G9" s="591"/>
      <c r="H9" s="591"/>
      <c r="I9" s="591"/>
      <c r="J9" s="591"/>
      <c r="K9" s="591"/>
      <c r="L9" s="591"/>
      <c r="M9" s="591"/>
      <c r="N9" s="591"/>
      <c r="O9" s="591"/>
      <c r="P9" s="592"/>
      <c r="Q9" s="217"/>
      <c r="R9" s="217"/>
      <c r="S9" s="217"/>
      <c r="T9" s="585"/>
      <c r="U9" s="586"/>
      <c r="V9" s="586"/>
      <c r="W9" s="586"/>
      <c r="X9" s="586"/>
      <c r="Y9" s="586"/>
      <c r="Z9" s="586"/>
      <c r="AA9" s="586"/>
      <c r="AB9" s="586"/>
      <c r="AC9" s="586"/>
      <c r="AD9" s="586"/>
      <c r="AE9" s="586"/>
      <c r="AF9" s="586"/>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70" t="s">
        <v>12</v>
      </c>
      <c r="G12" s="571"/>
      <c r="H12" s="572"/>
      <c r="I12" s="17"/>
      <c r="J12" s="570" t="s">
        <v>7</v>
      </c>
      <c r="K12" s="571"/>
      <c r="L12" s="572"/>
      <c r="M12" s="17"/>
      <c r="N12" s="570" t="s">
        <v>8</v>
      </c>
      <c r="O12" s="571"/>
      <c r="P12" s="572"/>
      <c r="Q12" s="17"/>
      <c r="R12" s="570" t="s">
        <v>9</v>
      </c>
      <c r="S12" s="571"/>
      <c r="T12" s="572"/>
      <c r="U12" s="17"/>
      <c r="V12" s="570" t="s">
        <v>10</v>
      </c>
      <c r="W12" s="571"/>
      <c r="X12" s="572"/>
      <c r="Y12" s="17"/>
      <c r="Z12" s="578" t="s">
        <v>11</v>
      </c>
      <c r="AA12" s="579"/>
      <c r="AB12" s="580"/>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256" t="s">
        <v>592</v>
      </c>
      <c r="E16" s="217"/>
      <c r="F16" s="251"/>
      <c r="G16" s="252">
        <v>0</v>
      </c>
      <c r="H16" s="253">
        <f aca="true" t="shared" si="0" ref="H16:H29">F16*G16</f>
        <v>0</v>
      </c>
      <c r="I16" s="254"/>
      <c r="J16" s="251">
        <v>2</v>
      </c>
      <c r="K16" s="252">
        <v>47000</v>
      </c>
      <c r="L16" s="253">
        <f aca="true" t="shared" si="1" ref="L16:L29">J16*K16</f>
        <v>94000</v>
      </c>
      <c r="M16" s="254"/>
      <c r="N16" s="251">
        <f>J16</f>
        <v>2</v>
      </c>
      <c r="O16" s="252">
        <f aca="true" t="shared" si="2" ref="O16:O21">K16*1.03</f>
        <v>48410</v>
      </c>
      <c r="P16" s="253">
        <f aca="true" t="shared" si="3" ref="P16:P29">N16*O16</f>
        <v>96820</v>
      </c>
      <c r="Q16" s="254"/>
      <c r="R16" s="251">
        <f>2.5</f>
        <v>2.5</v>
      </c>
      <c r="S16" s="252">
        <f aca="true" t="shared" si="4" ref="S16:S21">O16*1.03</f>
        <v>49862.3</v>
      </c>
      <c r="T16" s="253">
        <f aca="true" t="shared" si="5" ref="T16:T29">R16*S16</f>
        <v>124655.75</v>
      </c>
      <c r="U16" s="254"/>
      <c r="V16" s="251">
        <v>3</v>
      </c>
      <c r="W16" s="252">
        <f aca="true" t="shared" si="6" ref="W16:W21">S16*1.03</f>
        <v>51358.169</v>
      </c>
      <c r="X16" s="253">
        <f aca="true" t="shared" si="7" ref="X16:X29">V16*W16</f>
        <v>154074.507</v>
      </c>
      <c r="Y16" s="254"/>
      <c r="Z16" s="251">
        <v>4</v>
      </c>
      <c r="AA16" s="252">
        <f aca="true" t="shared" si="8" ref="AA16:AA21">W16*1.03</f>
        <v>52898.914070000006</v>
      </c>
      <c r="AB16" s="253">
        <f aca="true" t="shared" si="9" ref="AB16:AB29">Z16*AA16</f>
        <v>211595.65628000002</v>
      </c>
      <c r="AC16" s="255"/>
      <c r="AD16" s="224"/>
      <c r="AE16" s="225"/>
      <c r="AF16" s="225"/>
      <c r="AG16" s="225"/>
      <c r="AH16" s="225"/>
      <c r="AI16" s="225"/>
    </row>
    <row r="17" spans="2:35" ht="15" customHeight="1">
      <c r="B17" s="216"/>
      <c r="C17" s="231"/>
      <c r="D17" s="256" t="s">
        <v>593</v>
      </c>
      <c r="E17" s="217"/>
      <c r="F17" s="251"/>
      <c r="G17" s="252">
        <v>0</v>
      </c>
      <c r="H17" s="253">
        <f t="shared" si="0"/>
        <v>0</v>
      </c>
      <c r="I17" s="254"/>
      <c r="J17" s="251">
        <v>2</v>
      </c>
      <c r="K17" s="252">
        <v>47000</v>
      </c>
      <c r="L17" s="253">
        <f t="shared" si="1"/>
        <v>94000</v>
      </c>
      <c r="M17" s="254"/>
      <c r="N17" s="251">
        <f>J17</f>
        <v>2</v>
      </c>
      <c r="O17" s="252">
        <f t="shared" si="2"/>
        <v>48410</v>
      </c>
      <c r="P17" s="253">
        <f t="shared" si="3"/>
        <v>96820</v>
      </c>
      <c r="Q17" s="254"/>
      <c r="R17" s="251">
        <v>2.5</v>
      </c>
      <c r="S17" s="252">
        <f t="shared" si="4"/>
        <v>49862.3</v>
      </c>
      <c r="T17" s="253">
        <f t="shared" si="5"/>
        <v>124655.75</v>
      </c>
      <c r="U17" s="254"/>
      <c r="V17" s="251">
        <v>3</v>
      </c>
      <c r="W17" s="252">
        <f t="shared" si="6"/>
        <v>51358.169</v>
      </c>
      <c r="X17" s="253">
        <f t="shared" si="7"/>
        <v>154074.507</v>
      </c>
      <c r="Y17" s="254"/>
      <c r="Z17" s="251">
        <v>4</v>
      </c>
      <c r="AA17" s="252">
        <f t="shared" si="8"/>
        <v>52898.914070000006</v>
      </c>
      <c r="AB17" s="253">
        <f t="shared" si="9"/>
        <v>211595.65628000002</v>
      </c>
      <c r="AC17" s="255"/>
      <c r="AD17" s="224"/>
      <c r="AE17" s="225"/>
      <c r="AF17" s="225"/>
      <c r="AG17" s="225"/>
      <c r="AH17" s="225"/>
      <c r="AI17" s="225"/>
    </row>
    <row r="18" spans="2:30" ht="15" customHeight="1">
      <c r="B18" s="216"/>
      <c r="C18" s="231"/>
      <c r="D18" s="256" t="s">
        <v>594</v>
      </c>
      <c r="E18" s="217"/>
      <c r="F18" s="251"/>
      <c r="G18" s="252">
        <v>0</v>
      </c>
      <c r="H18" s="253">
        <f t="shared" si="0"/>
        <v>0</v>
      </c>
      <c r="I18" s="254"/>
      <c r="J18" s="251">
        <v>2</v>
      </c>
      <c r="K18" s="252">
        <v>47000</v>
      </c>
      <c r="L18" s="253">
        <f t="shared" si="1"/>
        <v>94000</v>
      </c>
      <c r="M18" s="254"/>
      <c r="N18" s="251">
        <f>J18</f>
        <v>2</v>
      </c>
      <c r="O18" s="252">
        <f t="shared" si="2"/>
        <v>48410</v>
      </c>
      <c r="P18" s="253">
        <f t="shared" si="3"/>
        <v>96820</v>
      </c>
      <c r="Q18" s="254"/>
      <c r="R18" s="251">
        <v>2.5</v>
      </c>
      <c r="S18" s="252">
        <f t="shared" si="4"/>
        <v>49862.3</v>
      </c>
      <c r="T18" s="253">
        <f t="shared" si="5"/>
        <v>124655.75</v>
      </c>
      <c r="U18" s="254"/>
      <c r="V18" s="251">
        <v>3</v>
      </c>
      <c r="W18" s="252">
        <f t="shared" si="6"/>
        <v>51358.169</v>
      </c>
      <c r="X18" s="253">
        <f t="shared" si="7"/>
        <v>154074.507</v>
      </c>
      <c r="Y18" s="254"/>
      <c r="Z18" s="251">
        <v>4</v>
      </c>
      <c r="AA18" s="252">
        <f t="shared" si="8"/>
        <v>52898.914070000006</v>
      </c>
      <c r="AB18" s="253">
        <f t="shared" si="9"/>
        <v>211595.65628000002</v>
      </c>
      <c r="AC18" s="230"/>
      <c r="AD18" s="221"/>
    </row>
    <row r="19" spans="2:30" ht="15" customHeight="1">
      <c r="B19" s="216"/>
      <c r="C19" s="231"/>
      <c r="D19" s="256" t="s">
        <v>595</v>
      </c>
      <c r="E19" s="217"/>
      <c r="F19" s="251"/>
      <c r="G19" s="252">
        <v>0</v>
      </c>
      <c r="H19" s="253">
        <f t="shared" si="0"/>
        <v>0</v>
      </c>
      <c r="I19" s="254"/>
      <c r="J19" s="251">
        <v>2</v>
      </c>
      <c r="K19" s="252">
        <v>47000</v>
      </c>
      <c r="L19" s="253">
        <f t="shared" si="1"/>
        <v>94000</v>
      </c>
      <c r="M19" s="254"/>
      <c r="N19" s="251">
        <f>J19</f>
        <v>2</v>
      </c>
      <c r="O19" s="252">
        <f t="shared" si="2"/>
        <v>48410</v>
      </c>
      <c r="P19" s="253">
        <f t="shared" si="3"/>
        <v>96820</v>
      </c>
      <c r="Q19" s="254"/>
      <c r="R19" s="251">
        <v>2.5</v>
      </c>
      <c r="S19" s="252">
        <f t="shared" si="4"/>
        <v>49862.3</v>
      </c>
      <c r="T19" s="253">
        <f t="shared" si="5"/>
        <v>124655.75</v>
      </c>
      <c r="U19" s="254"/>
      <c r="V19" s="251">
        <v>3</v>
      </c>
      <c r="W19" s="252">
        <f t="shared" si="6"/>
        <v>51358.169</v>
      </c>
      <c r="X19" s="253">
        <f t="shared" si="7"/>
        <v>154074.507</v>
      </c>
      <c r="Y19" s="254"/>
      <c r="Z19" s="251">
        <v>4</v>
      </c>
      <c r="AA19" s="252">
        <f t="shared" si="8"/>
        <v>52898.914070000006</v>
      </c>
      <c r="AB19" s="253">
        <f t="shared" si="9"/>
        <v>211595.65628000002</v>
      </c>
      <c r="AC19" s="230"/>
      <c r="AD19" s="221"/>
    </row>
    <row r="20" spans="2:30" ht="15" customHeight="1">
      <c r="B20" s="216"/>
      <c r="C20" s="231"/>
      <c r="D20" s="256" t="s">
        <v>464</v>
      </c>
      <c r="E20" s="217"/>
      <c r="F20" s="251"/>
      <c r="G20" s="252">
        <v>0</v>
      </c>
      <c r="H20" s="253">
        <f t="shared" si="0"/>
        <v>0</v>
      </c>
      <c r="I20" s="254"/>
      <c r="J20" s="251">
        <v>1</v>
      </c>
      <c r="K20" s="252">
        <v>47000</v>
      </c>
      <c r="L20" s="253">
        <f t="shared" si="1"/>
        <v>47000</v>
      </c>
      <c r="M20" s="254"/>
      <c r="N20" s="251">
        <v>1.5</v>
      </c>
      <c r="O20" s="252">
        <f t="shared" si="2"/>
        <v>48410</v>
      </c>
      <c r="P20" s="253">
        <f t="shared" si="3"/>
        <v>72615</v>
      </c>
      <c r="Q20" s="254"/>
      <c r="R20" s="251">
        <v>2</v>
      </c>
      <c r="S20" s="252">
        <f t="shared" si="4"/>
        <v>49862.3</v>
      </c>
      <c r="T20" s="253">
        <f t="shared" si="5"/>
        <v>99724.6</v>
      </c>
      <c r="U20" s="254"/>
      <c r="V20" s="251">
        <v>2</v>
      </c>
      <c r="W20" s="252">
        <f t="shared" si="6"/>
        <v>51358.169</v>
      </c>
      <c r="X20" s="253">
        <f t="shared" si="7"/>
        <v>102716.338</v>
      </c>
      <c r="Y20" s="254"/>
      <c r="Z20" s="251">
        <v>3</v>
      </c>
      <c r="AA20" s="252">
        <f t="shared" si="8"/>
        <v>52898.914070000006</v>
      </c>
      <c r="AB20" s="253">
        <f t="shared" si="9"/>
        <v>158696.74221000003</v>
      </c>
      <c r="AC20" s="230"/>
      <c r="AD20" s="221"/>
    </row>
    <row r="21" spans="2:30" ht="15" customHeight="1">
      <c r="B21" s="216"/>
      <c r="C21" s="231"/>
      <c r="D21" s="256" t="s">
        <v>596</v>
      </c>
      <c r="E21" s="217"/>
      <c r="F21" s="251"/>
      <c r="G21" s="252">
        <v>0</v>
      </c>
      <c r="H21" s="253">
        <f t="shared" si="0"/>
        <v>0</v>
      </c>
      <c r="I21" s="254"/>
      <c r="J21" s="251">
        <v>6</v>
      </c>
      <c r="K21" s="252">
        <v>30000</v>
      </c>
      <c r="L21" s="253">
        <f t="shared" si="1"/>
        <v>180000</v>
      </c>
      <c r="M21" s="254"/>
      <c r="N21" s="251">
        <f>J21</f>
        <v>6</v>
      </c>
      <c r="O21" s="252">
        <f t="shared" si="2"/>
        <v>30900</v>
      </c>
      <c r="P21" s="253">
        <f t="shared" si="3"/>
        <v>185400</v>
      </c>
      <c r="Q21" s="254"/>
      <c r="R21" s="251">
        <v>7</v>
      </c>
      <c r="S21" s="252">
        <f t="shared" si="4"/>
        <v>31827</v>
      </c>
      <c r="T21" s="253">
        <f t="shared" si="5"/>
        <v>222789</v>
      </c>
      <c r="U21" s="254"/>
      <c r="V21" s="251">
        <v>8</v>
      </c>
      <c r="W21" s="252">
        <f t="shared" si="6"/>
        <v>32781.81</v>
      </c>
      <c r="X21" s="253">
        <f t="shared" si="7"/>
        <v>262254.48</v>
      </c>
      <c r="Y21" s="254"/>
      <c r="Z21" s="251">
        <v>9</v>
      </c>
      <c r="AA21" s="252">
        <f t="shared" si="8"/>
        <v>33765.264299999995</v>
      </c>
      <c r="AB21" s="253">
        <f t="shared" si="9"/>
        <v>303887.37869999994</v>
      </c>
      <c r="AC21" s="230"/>
      <c r="AD21" s="221"/>
    </row>
    <row r="22" spans="2:30" ht="15" customHeight="1">
      <c r="B22" s="216"/>
      <c r="C22" s="231"/>
      <c r="D22" s="256"/>
      <c r="E22" s="217"/>
      <c r="F22" s="251"/>
      <c r="G22" s="252">
        <v>0</v>
      </c>
      <c r="H22" s="253">
        <f t="shared" si="0"/>
        <v>0</v>
      </c>
      <c r="I22" s="254"/>
      <c r="J22" s="251"/>
      <c r="K22" s="252">
        <v>0</v>
      </c>
      <c r="L22" s="253">
        <f aca="true" t="shared" si="10" ref="L22:L27">J22*K22</f>
        <v>0</v>
      </c>
      <c r="M22" s="254"/>
      <c r="N22" s="251"/>
      <c r="O22" s="252">
        <v>0</v>
      </c>
      <c r="P22" s="253">
        <f aca="true" t="shared" si="11" ref="P22:P27">N22*O22</f>
        <v>0</v>
      </c>
      <c r="Q22" s="254"/>
      <c r="R22" s="251"/>
      <c r="S22" s="252">
        <v>0</v>
      </c>
      <c r="T22" s="253">
        <f aca="true" t="shared" si="12" ref="T22:T27">R22*S22</f>
        <v>0</v>
      </c>
      <c r="U22" s="254"/>
      <c r="V22" s="251"/>
      <c r="W22" s="252">
        <v>0</v>
      </c>
      <c r="X22" s="253">
        <f aca="true" t="shared" si="13" ref="X22:X27">V22*W22</f>
        <v>0</v>
      </c>
      <c r="Y22" s="254"/>
      <c r="Z22" s="251"/>
      <c r="AA22" s="252">
        <v>0</v>
      </c>
      <c r="AB22" s="253">
        <f aca="true" t="shared" si="14" ref="AB22:AB27">Z22*AA22</f>
        <v>0</v>
      </c>
      <c r="AC22" s="230"/>
      <c r="AD22" s="221"/>
    </row>
    <row r="23" spans="2:30" ht="15" customHeight="1">
      <c r="B23" s="216"/>
      <c r="C23" s="231"/>
      <c r="D23" s="256"/>
      <c r="E23" s="217"/>
      <c r="F23" s="251"/>
      <c r="G23" s="252">
        <v>0</v>
      </c>
      <c r="H23" s="253">
        <f t="shared" si="0"/>
        <v>0</v>
      </c>
      <c r="I23" s="254"/>
      <c r="J23" s="251"/>
      <c r="K23" s="252">
        <v>0</v>
      </c>
      <c r="L23" s="253">
        <f t="shared" si="10"/>
        <v>0</v>
      </c>
      <c r="M23" s="254"/>
      <c r="N23" s="251"/>
      <c r="O23" s="252">
        <v>0</v>
      </c>
      <c r="P23" s="253">
        <f t="shared" si="11"/>
        <v>0</v>
      </c>
      <c r="Q23" s="254"/>
      <c r="R23" s="251"/>
      <c r="S23" s="252">
        <v>0</v>
      </c>
      <c r="T23" s="253">
        <f t="shared" si="12"/>
        <v>0</v>
      </c>
      <c r="U23" s="254"/>
      <c r="V23" s="251"/>
      <c r="W23" s="252">
        <v>0</v>
      </c>
      <c r="X23" s="253">
        <f t="shared" si="13"/>
        <v>0</v>
      </c>
      <c r="Y23" s="254"/>
      <c r="Z23" s="251"/>
      <c r="AA23" s="252">
        <v>0</v>
      </c>
      <c r="AB23" s="253">
        <f t="shared" si="14"/>
        <v>0</v>
      </c>
      <c r="AC23" s="230"/>
      <c r="AD23" s="221"/>
    </row>
    <row r="24" spans="2:30" ht="15" customHeight="1">
      <c r="B24" s="216"/>
      <c r="C24" s="231"/>
      <c r="D24" s="256"/>
      <c r="E24" s="217"/>
      <c r="F24" s="251"/>
      <c r="G24" s="252">
        <v>0</v>
      </c>
      <c r="H24" s="253">
        <f t="shared" si="0"/>
        <v>0</v>
      </c>
      <c r="I24" s="254"/>
      <c r="J24" s="251"/>
      <c r="K24" s="252">
        <v>0</v>
      </c>
      <c r="L24" s="253">
        <f t="shared" si="10"/>
        <v>0</v>
      </c>
      <c r="M24" s="254"/>
      <c r="N24" s="251"/>
      <c r="O24" s="252">
        <v>0</v>
      </c>
      <c r="P24" s="253">
        <f t="shared" si="11"/>
        <v>0</v>
      </c>
      <c r="Q24" s="254"/>
      <c r="R24" s="251"/>
      <c r="S24" s="252">
        <v>0</v>
      </c>
      <c r="T24" s="253">
        <f t="shared" si="12"/>
        <v>0</v>
      </c>
      <c r="U24" s="254"/>
      <c r="V24" s="251"/>
      <c r="W24" s="252">
        <v>0</v>
      </c>
      <c r="X24" s="253">
        <f t="shared" si="13"/>
        <v>0</v>
      </c>
      <c r="Y24" s="254"/>
      <c r="Z24" s="251"/>
      <c r="AA24" s="252">
        <v>0</v>
      </c>
      <c r="AB24" s="253">
        <f t="shared" si="14"/>
        <v>0</v>
      </c>
      <c r="AC24" s="230"/>
      <c r="AD24" s="221"/>
    </row>
    <row r="25" spans="2:30" ht="15" customHeight="1">
      <c r="B25" s="216"/>
      <c r="C25" s="231"/>
      <c r="D25" s="256"/>
      <c r="E25" s="217"/>
      <c r="F25" s="251"/>
      <c r="G25" s="252">
        <v>0</v>
      </c>
      <c r="H25" s="253">
        <f t="shared" si="0"/>
        <v>0</v>
      </c>
      <c r="I25" s="254"/>
      <c r="J25" s="251"/>
      <c r="K25" s="252">
        <v>0</v>
      </c>
      <c r="L25" s="253">
        <f t="shared" si="10"/>
        <v>0</v>
      </c>
      <c r="M25" s="254"/>
      <c r="N25" s="251"/>
      <c r="O25" s="252">
        <v>0</v>
      </c>
      <c r="P25" s="253">
        <f t="shared" si="11"/>
        <v>0</v>
      </c>
      <c r="Q25" s="254"/>
      <c r="R25" s="251"/>
      <c r="S25" s="252">
        <v>0</v>
      </c>
      <c r="T25" s="253">
        <f t="shared" si="12"/>
        <v>0</v>
      </c>
      <c r="U25" s="254"/>
      <c r="V25" s="251"/>
      <c r="W25" s="252">
        <v>0</v>
      </c>
      <c r="X25" s="253">
        <f t="shared" si="13"/>
        <v>0</v>
      </c>
      <c r="Y25" s="254"/>
      <c r="Z25" s="251"/>
      <c r="AA25" s="252">
        <v>0</v>
      </c>
      <c r="AB25" s="253">
        <f t="shared" si="14"/>
        <v>0</v>
      </c>
      <c r="AC25" s="230"/>
      <c r="AD25" s="221"/>
    </row>
    <row r="26" spans="2:30" ht="15" customHeight="1">
      <c r="B26" s="216"/>
      <c r="C26" s="231"/>
      <c r="D26" s="256"/>
      <c r="E26" s="217"/>
      <c r="F26" s="251"/>
      <c r="G26" s="252">
        <v>0</v>
      </c>
      <c r="H26" s="253">
        <f t="shared" si="0"/>
        <v>0</v>
      </c>
      <c r="I26" s="254"/>
      <c r="J26" s="251"/>
      <c r="K26" s="252">
        <v>0</v>
      </c>
      <c r="L26" s="253">
        <f t="shared" si="10"/>
        <v>0</v>
      </c>
      <c r="M26" s="254"/>
      <c r="N26" s="251"/>
      <c r="O26" s="252">
        <v>0</v>
      </c>
      <c r="P26" s="253">
        <f t="shared" si="11"/>
        <v>0</v>
      </c>
      <c r="Q26" s="254"/>
      <c r="R26" s="251"/>
      <c r="S26" s="252">
        <v>0</v>
      </c>
      <c r="T26" s="253">
        <f t="shared" si="12"/>
        <v>0</v>
      </c>
      <c r="U26" s="254"/>
      <c r="V26" s="251"/>
      <c r="W26" s="252">
        <v>0</v>
      </c>
      <c r="X26" s="253">
        <f t="shared" si="13"/>
        <v>0</v>
      </c>
      <c r="Y26" s="254"/>
      <c r="Z26" s="251"/>
      <c r="AA26" s="252">
        <v>0</v>
      </c>
      <c r="AB26" s="253">
        <f t="shared" si="14"/>
        <v>0</v>
      </c>
      <c r="AC26" s="230"/>
      <c r="AD26" s="221"/>
    </row>
    <row r="27" spans="2:30" ht="15" customHeight="1">
      <c r="B27" s="216"/>
      <c r="C27" s="231"/>
      <c r="D27" s="256"/>
      <c r="E27" s="217"/>
      <c r="F27" s="251"/>
      <c r="G27" s="252">
        <v>0</v>
      </c>
      <c r="H27" s="253">
        <f t="shared" si="0"/>
        <v>0</v>
      </c>
      <c r="I27" s="254"/>
      <c r="J27" s="251"/>
      <c r="K27" s="252">
        <v>0</v>
      </c>
      <c r="L27" s="253">
        <f t="shared" si="10"/>
        <v>0</v>
      </c>
      <c r="M27" s="254"/>
      <c r="N27" s="251"/>
      <c r="O27" s="252">
        <v>0</v>
      </c>
      <c r="P27" s="253">
        <f t="shared" si="11"/>
        <v>0</v>
      </c>
      <c r="Q27" s="254"/>
      <c r="R27" s="251"/>
      <c r="S27" s="252">
        <v>0</v>
      </c>
      <c r="T27" s="253">
        <f t="shared" si="12"/>
        <v>0</v>
      </c>
      <c r="U27" s="254"/>
      <c r="V27" s="251"/>
      <c r="W27" s="252">
        <v>0</v>
      </c>
      <c r="X27" s="253">
        <f t="shared" si="13"/>
        <v>0</v>
      </c>
      <c r="Y27" s="254"/>
      <c r="Z27" s="251"/>
      <c r="AA27" s="252">
        <v>0</v>
      </c>
      <c r="AB27" s="253">
        <f t="shared" si="14"/>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3"/>
        <v>0</v>
      </c>
      <c r="Q28" s="254"/>
      <c r="R28" s="251"/>
      <c r="S28" s="252">
        <v>0</v>
      </c>
      <c r="T28" s="253">
        <f t="shared" si="5"/>
        <v>0</v>
      </c>
      <c r="U28" s="254"/>
      <c r="V28" s="251"/>
      <c r="W28" s="252">
        <v>0</v>
      </c>
      <c r="X28" s="253">
        <f t="shared" si="7"/>
        <v>0</v>
      </c>
      <c r="Y28" s="254"/>
      <c r="Z28" s="251"/>
      <c r="AA28" s="252">
        <v>0</v>
      </c>
      <c r="AB28" s="253">
        <f t="shared" si="9"/>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3"/>
        <v>0</v>
      </c>
      <c r="Q29" s="254"/>
      <c r="R29" s="251"/>
      <c r="S29" s="252">
        <v>0</v>
      </c>
      <c r="T29" s="253">
        <f t="shared" si="5"/>
        <v>0</v>
      </c>
      <c r="U29" s="254"/>
      <c r="V29" s="251"/>
      <c r="W29" s="252">
        <v>0</v>
      </c>
      <c r="X29" s="253">
        <f t="shared" si="7"/>
        <v>0</v>
      </c>
      <c r="Y29" s="254"/>
      <c r="Z29" s="251"/>
      <c r="AA29" s="252">
        <v>0</v>
      </c>
      <c r="AB29" s="253">
        <f t="shared" si="9"/>
        <v>0</v>
      </c>
      <c r="AC29" s="230"/>
      <c r="AD29" s="221" t="s">
        <v>2</v>
      </c>
    </row>
    <row r="30" spans="2:30" ht="15" customHeight="1">
      <c r="B30" s="216"/>
      <c r="C30" s="231"/>
      <c r="D30" s="259" t="s">
        <v>32</v>
      </c>
      <c r="E30" s="218"/>
      <c r="F30" s="260">
        <f>SUM(F15:F29)</f>
        <v>0</v>
      </c>
      <c r="G30" s="261"/>
      <c r="H30" s="262">
        <f>SUM(H15:H29)</f>
        <v>0</v>
      </c>
      <c r="I30" s="263"/>
      <c r="J30" s="260">
        <f>SUM(J15:J29)</f>
        <v>15</v>
      </c>
      <c r="K30" s="261"/>
      <c r="L30" s="262">
        <f>SUM(L15:L29)</f>
        <v>603000</v>
      </c>
      <c r="M30" s="263"/>
      <c r="N30" s="260">
        <f>SUM(N15:N29)</f>
        <v>15.5</v>
      </c>
      <c r="O30" s="261"/>
      <c r="P30" s="262">
        <f>SUM(P15:P29)</f>
        <v>645295</v>
      </c>
      <c r="Q30" s="263"/>
      <c r="R30" s="260">
        <f>SUM(R15:R29)</f>
        <v>19</v>
      </c>
      <c r="S30" s="261"/>
      <c r="T30" s="262">
        <f>SUM(T15:T29)</f>
        <v>821136.6</v>
      </c>
      <c r="U30" s="263"/>
      <c r="V30" s="260">
        <f>SUM(V15:V29)</f>
        <v>22</v>
      </c>
      <c r="W30" s="261"/>
      <c r="X30" s="262">
        <f>SUM(X15:X29)</f>
        <v>981268.846</v>
      </c>
      <c r="Y30" s="263"/>
      <c r="Z30" s="260">
        <f>SUM(Z15:Z29)</f>
        <v>28</v>
      </c>
      <c r="AA30" s="261"/>
      <c r="AB30" s="262">
        <f>SUM(AB15:AB29)</f>
        <v>1308966.74603</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256"/>
      <c r="E34" s="217"/>
      <c r="F34" s="251"/>
      <c r="G34" s="252">
        <v>0</v>
      </c>
      <c r="H34" s="253">
        <f aca="true" t="shared" si="15" ref="H34:H47">F34*G34</f>
        <v>0</v>
      </c>
      <c r="I34" s="254"/>
      <c r="J34" s="251"/>
      <c r="K34" s="252">
        <v>0</v>
      </c>
      <c r="L34" s="253">
        <f aca="true" t="shared" si="16" ref="L34:L47">J34*K34</f>
        <v>0</v>
      </c>
      <c r="M34" s="274"/>
      <c r="N34" s="251"/>
      <c r="O34" s="252">
        <v>0</v>
      </c>
      <c r="P34" s="253">
        <f aca="true" t="shared" si="17" ref="P34:P47">N34*O34</f>
        <v>0</v>
      </c>
      <c r="Q34" s="274"/>
      <c r="R34" s="251"/>
      <c r="S34" s="252">
        <v>0</v>
      </c>
      <c r="T34" s="253">
        <f aca="true" t="shared" si="18" ref="T34:T47">R34*S34</f>
        <v>0</v>
      </c>
      <c r="U34" s="274"/>
      <c r="V34" s="251"/>
      <c r="W34" s="252">
        <v>0</v>
      </c>
      <c r="X34" s="253">
        <f aca="true" t="shared" si="19" ref="X34:X47">V34*W34</f>
        <v>0</v>
      </c>
      <c r="Y34" s="274"/>
      <c r="Z34" s="251"/>
      <c r="AA34" s="252">
        <v>0</v>
      </c>
      <c r="AB34" s="253">
        <f aca="true" t="shared" si="20" ref="AB34:AB47">Z34*AA34</f>
        <v>0</v>
      </c>
      <c r="AC34" s="275"/>
      <c r="AD34" s="221"/>
      <c r="AE34" s="214" t="s">
        <v>2</v>
      </c>
    </row>
    <row r="35" spans="2:30" ht="15" customHeight="1">
      <c r="B35" s="216"/>
      <c r="C35" s="231"/>
      <c r="D35" s="256" t="s">
        <v>597</v>
      </c>
      <c r="E35" s="217"/>
      <c r="F35" s="251"/>
      <c r="G35" s="252">
        <v>0</v>
      </c>
      <c r="H35" s="253">
        <f t="shared" si="15"/>
        <v>0</v>
      </c>
      <c r="I35" s="254"/>
      <c r="J35" s="251">
        <v>1</v>
      </c>
      <c r="K35" s="252">
        <v>110000</v>
      </c>
      <c r="L35" s="253">
        <f t="shared" si="16"/>
        <v>110000</v>
      </c>
      <c r="M35" s="274"/>
      <c r="N35" s="251">
        <f>J35</f>
        <v>1</v>
      </c>
      <c r="O35" s="252">
        <f>K35*1.03</f>
        <v>113300</v>
      </c>
      <c r="P35" s="253">
        <f t="shared" si="17"/>
        <v>113300</v>
      </c>
      <c r="Q35" s="274"/>
      <c r="R35" s="251">
        <f>N35</f>
        <v>1</v>
      </c>
      <c r="S35" s="252">
        <f>O35*1.03</f>
        <v>116699</v>
      </c>
      <c r="T35" s="253">
        <f t="shared" si="18"/>
        <v>116699</v>
      </c>
      <c r="U35" s="274"/>
      <c r="V35" s="251">
        <f>R35</f>
        <v>1</v>
      </c>
      <c r="W35" s="252">
        <f>S35*1.03</f>
        <v>120199.97</v>
      </c>
      <c r="X35" s="253">
        <f t="shared" si="19"/>
        <v>120199.97</v>
      </c>
      <c r="Y35" s="274"/>
      <c r="Z35" s="251">
        <f>V35</f>
        <v>1</v>
      </c>
      <c r="AA35" s="252">
        <f>W35*1.03</f>
        <v>123805.9691</v>
      </c>
      <c r="AB35" s="253">
        <f t="shared" si="20"/>
        <v>123805.9691</v>
      </c>
      <c r="AC35" s="275"/>
      <c r="AD35" s="221"/>
    </row>
    <row r="36" spans="2:30" ht="15" customHeight="1">
      <c r="B36" s="216"/>
      <c r="C36" s="231"/>
      <c r="D36" s="276" t="s">
        <v>598</v>
      </c>
      <c r="E36" s="277"/>
      <c r="F36" s="251"/>
      <c r="G36" s="252">
        <v>0</v>
      </c>
      <c r="H36" s="253">
        <f t="shared" si="15"/>
        <v>0</v>
      </c>
      <c r="I36" s="254"/>
      <c r="J36" s="251">
        <v>0</v>
      </c>
      <c r="K36" s="252">
        <v>90000</v>
      </c>
      <c r="L36" s="253">
        <f t="shared" si="16"/>
        <v>0</v>
      </c>
      <c r="M36" s="274"/>
      <c r="N36" s="251">
        <v>1</v>
      </c>
      <c r="O36" s="252">
        <v>90000</v>
      </c>
      <c r="P36" s="253">
        <f t="shared" si="17"/>
        <v>90000</v>
      </c>
      <c r="Q36" s="274"/>
      <c r="R36" s="251">
        <f aca="true" t="shared" si="21" ref="R36:R47">N36</f>
        <v>1</v>
      </c>
      <c r="S36" s="252">
        <f aca="true" t="shared" si="22" ref="S36:S47">O36*1.03</f>
        <v>92700</v>
      </c>
      <c r="T36" s="253">
        <f t="shared" si="18"/>
        <v>92700</v>
      </c>
      <c r="U36" s="274"/>
      <c r="V36" s="251">
        <f aca="true" t="shared" si="23" ref="V36:V47">R36</f>
        <v>1</v>
      </c>
      <c r="W36" s="252">
        <f aca="true" t="shared" si="24" ref="W36:W47">S36*1.03</f>
        <v>95481</v>
      </c>
      <c r="X36" s="253">
        <f t="shared" si="19"/>
        <v>95481</v>
      </c>
      <c r="Y36" s="274"/>
      <c r="Z36" s="251">
        <f aca="true" t="shared" si="25" ref="Z36:Z47">V36</f>
        <v>1</v>
      </c>
      <c r="AA36" s="252">
        <f aca="true" t="shared" si="26" ref="AA36:AA47">W36*1.03</f>
        <v>98345.43000000001</v>
      </c>
      <c r="AB36" s="253">
        <f t="shared" si="20"/>
        <v>98345.43000000001</v>
      </c>
      <c r="AC36" s="275" t="s">
        <v>2</v>
      </c>
      <c r="AD36" s="221"/>
    </row>
    <row r="37" spans="2:30" ht="15" customHeight="1">
      <c r="B37" s="216"/>
      <c r="C37" s="231"/>
      <c r="D37" s="276" t="s">
        <v>599</v>
      </c>
      <c r="E37" s="277"/>
      <c r="F37" s="251"/>
      <c r="G37" s="252">
        <v>0</v>
      </c>
      <c r="H37" s="253">
        <f aca="true" t="shared" si="27" ref="H37:H42">F37*G37</f>
        <v>0</v>
      </c>
      <c r="I37" s="254"/>
      <c r="J37" s="251">
        <v>1</v>
      </c>
      <c r="K37" s="252">
        <v>80000</v>
      </c>
      <c r="L37" s="253">
        <f aca="true" t="shared" si="28" ref="L37:L42">J37*K37</f>
        <v>80000</v>
      </c>
      <c r="M37" s="274"/>
      <c r="N37" s="251">
        <f aca="true" t="shared" si="29" ref="N37:N47">J37</f>
        <v>1</v>
      </c>
      <c r="O37" s="252">
        <f aca="true" t="shared" si="30" ref="O37:O47">K37*1.03</f>
        <v>82400</v>
      </c>
      <c r="P37" s="253">
        <f aca="true" t="shared" si="31" ref="P37:P42">N37*O37</f>
        <v>82400</v>
      </c>
      <c r="Q37" s="274"/>
      <c r="R37" s="251">
        <f t="shared" si="21"/>
        <v>1</v>
      </c>
      <c r="S37" s="252">
        <f t="shared" si="22"/>
        <v>84872</v>
      </c>
      <c r="T37" s="253">
        <f aca="true" t="shared" si="32" ref="T37:T42">R37*S37</f>
        <v>84872</v>
      </c>
      <c r="U37" s="274"/>
      <c r="V37" s="251">
        <f t="shared" si="23"/>
        <v>1</v>
      </c>
      <c r="W37" s="252">
        <f t="shared" si="24"/>
        <v>87418.16</v>
      </c>
      <c r="X37" s="253">
        <f aca="true" t="shared" si="33" ref="X37:X42">V37*W37</f>
        <v>87418.16</v>
      </c>
      <c r="Y37" s="274"/>
      <c r="Z37" s="251">
        <f t="shared" si="25"/>
        <v>1</v>
      </c>
      <c r="AA37" s="252">
        <f t="shared" si="26"/>
        <v>90040.7048</v>
      </c>
      <c r="AB37" s="253">
        <f aca="true" t="shared" si="34" ref="AB37:AB42">Z37*AA37</f>
        <v>90040.7048</v>
      </c>
      <c r="AC37" s="275"/>
      <c r="AD37" s="221"/>
    </row>
    <row r="38" spans="2:30" ht="15" customHeight="1">
      <c r="B38" s="216"/>
      <c r="C38" s="231"/>
      <c r="D38" s="276"/>
      <c r="E38" s="277"/>
      <c r="F38" s="251"/>
      <c r="G38" s="252">
        <v>0</v>
      </c>
      <c r="H38" s="253">
        <f t="shared" si="27"/>
        <v>0</v>
      </c>
      <c r="I38" s="254"/>
      <c r="J38" s="251"/>
      <c r="K38" s="252">
        <v>0</v>
      </c>
      <c r="L38" s="253">
        <f t="shared" si="28"/>
        <v>0</v>
      </c>
      <c r="M38" s="274"/>
      <c r="N38" s="251"/>
      <c r="O38" s="252">
        <f t="shared" si="30"/>
        <v>0</v>
      </c>
      <c r="P38" s="253">
        <f t="shared" si="31"/>
        <v>0</v>
      </c>
      <c r="Q38" s="274"/>
      <c r="R38" s="251"/>
      <c r="S38" s="252">
        <f t="shared" si="22"/>
        <v>0</v>
      </c>
      <c r="T38" s="253">
        <f t="shared" si="32"/>
        <v>0</v>
      </c>
      <c r="U38" s="274"/>
      <c r="V38" s="251"/>
      <c r="W38" s="252">
        <f t="shared" si="24"/>
        <v>0</v>
      </c>
      <c r="X38" s="253">
        <f t="shared" si="33"/>
        <v>0</v>
      </c>
      <c r="Y38" s="274"/>
      <c r="Z38" s="251"/>
      <c r="AA38" s="252">
        <f t="shared" si="26"/>
        <v>0</v>
      </c>
      <c r="AB38" s="253">
        <f t="shared" si="34"/>
        <v>0</v>
      </c>
      <c r="AC38" s="275"/>
      <c r="AD38" s="221"/>
    </row>
    <row r="39" spans="2:30" ht="15" customHeight="1">
      <c r="B39" s="216"/>
      <c r="C39" s="231"/>
      <c r="D39" s="276" t="s">
        <v>600</v>
      </c>
      <c r="E39" s="277"/>
      <c r="F39" s="251"/>
      <c r="G39" s="252">
        <v>0</v>
      </c>
      <c r="H39" s="253">
        <f t="shared" si="27"/>
        <v>0</v>
      </c>
      <c r="I39" s="254"/>
      <c r="J39" s="251">
        <v>1</v>
      </c>
      <c r="K39" s="252">
        <v>70000</v>
      </c>
      <c r="L39" s="253">
        <f t="shared" si="28"/>
        <v>70000</v>
      </c>
      <c r="M39" s="274"/>
      <c r="N39" s="251">
        <f t="shared" si="29"/>
        <v>1</v>
      </c>
      <c r="O39" s="252">
        <f t="shared" si="30"/>
        <v>72100</v>
      </c>
      <c r="P39" s="253">
        <f t="shared" si="31"/>
        <v>72100</v>
      </c>
      <c r="Q39" s="274"/>
      <c r="R39" s="251">
        <f t="shared" si="21"/>
        <v>1</v>
      </c>
      <c r="S39" s="252">
        <f t="shared" si="22"/>
        <v>74263</v>
      </c>
      <c r="T39" s="253">
        <f t="shared" si="32"/>
        <v>74263</v>
      </c>
      <c r="U39" s="274"/>
      <c r="V39" s="251">
        <v>2</v>
      </c>
      <c r="W39" s="252">
        <f t="shared" si="24"/>
        <v>76490.89</v>
      </c>
      <c r="X39" s="253">
        <f t="shared" si="33"/>
        <v>152981.78</v>
      </c>
      <c r="Y39" s="274"/>
      <c r="Z39" s="251">
        <f t="shared" si="25"/>
        <v>2</v>
      </c>
      <c r="AA39" s="252">
        <f t="shared" si="26"/>
        <v>78785.6167</v>
      </c>
      <c r="AB39" s="253">
        <f t="shared" si="34"/>
        <v>157571.2334</v>
      </c>
      <c r="AC39" s="275"/>
      <c r="AD39" s="221"/>
    </row>
    <row r="40" spans="2:30" ht="15" customHeight="1">
      <c r="B40" s="216"/>
      <c r="C40" s="231"/>
      <c r="D40" s="276"/>
      <c r="E40" s="277"/>
      <c r="F40" s="251"/>
      <c r="G40" s="252">
        <v>0</v>
      </c>
      <c r="H40" s="253">
        <f t="shared" si="27"/>
        <v>0</v>
      </c>
      <c r="I40" s="254"/>
      <c r="J40" s="251"/>
      <c r="K40" s="252">
        <v>0</v>
      </c>
      <c r="L40" s="253">
        <f t="shared" si="28"/>
        <v>0</v>
      </c>
      <c r="M40" s="274"/>
      <c r="N40" s="251"/>
      <c r="O40" s="252">
        <f t="shared" si="30"/>
        <v>0</v>
      </c>
      <c r="P40" s="253">
        <f t="shared" si="31"/>
        <v>0</v>
      </c>
      <c r="Q40" s="274"/>
      <c r="R40" s="251"/>
      <c r="S40" s="252">
        <f t="shared" si="22"/>
        <v>0</v>
      </c>
      <c r="T40" s="253">
        <f t="shared" si="32"/>
        <v>0</v>
      </c>
      <c r="U40" s="274"/>
      <c r="V40" s="251"/>
      <c r="W40" s="252">
        <f t="shared" si="24"/>
        <v>0</v>
      </c>
      <c r="X40" s="253">
        <f t="shared" si="33"/>
        <v>0</v>
      </c>
      <c r="Y40" s="274"/>
      <c r="Z40" s="251"/>
      <c r="AA40" s="252">
        <f t="shared" si="26"/>
        <v>0</v>
      </c>
      <c r="AB40" s="253">
        <f t="shared" si="34"/>
        <v>0</v>
      </c>
      <c r="AC40" s="275"/>
      <c r="AD40" s="221"/>
    </row>
    <row r="41" spans="2:30" ht="15" customHeight="1">
      <c r="B41" s="216"/>
      <c r="C41" s="231"/>
      <c r="D41" s="276" t="s">
        <v>601</v>
      </c>
      <c r="E41" s="277"/>
      <c r="F41" s="251"/>
      <c r="G41" s="252">
        <v>0</v>
      </c>
      <c r="H41" s="253">
        <f t="shared" si="27"/>
        <v>0</v>
      </c>
      <c r="I41" s="254"/>
      <c r="J41" s="251">
        <v>1</v>
      </c>
      <c r="K41" s="252">
        <v>70000</v>
      </c>
      <c r="L41" s="253">
        <f t="shared" si="28"/>
        <v>70000</v>
      </c>
      <c r="M41" s="274"/>
      <c r="N41" s="251">
        <f t="shared" si="29"/>
        <v>1</v>
      </c>
      <c r="O41" s="252">
        <f t="shared" si="30"/>
        <v>72100</v>
      </c>
      <c r="P41" s="253">
        <f t="shared" si="31"/>
        <v>72100</v>
      </c>
      <c r="Q41" s="274"/>
      <c r="R41" s="251">
        <v>2</v>
      </c>
      <c r="S41" s="252">
        <f t="shared" si="22"/>
        <v>74263</v>
      </c>
      <c r="T41" s="253">
        <f t="shared" si="32"/>
        <v>148526</v>
      </c>
      <c r="U41" s="274"/>
      <c r="V41" s="251">
        <f t="shared" si="23"/>
        <v>2</v>
      </c>
      <c r="W41" s="252">
        <f t="shared" si="24"/>
        <v>76490.89</v>
      </c>
      <c r="X41" s="253">
        <f t="shared" si="33"/>
        <v>152981.78</v>
      </c>
      <c r="Y41" s="274"/>
      <c r="Z41" s="251">
        <f t="shared" si="25"/>
        <v>2</v>
      </c>
      <c r="AA41" s="252">
        <f t="shared" si="26"/>
        <v>78785.6167</v>
      </c>
      <c r="AB41" s="253">
        <f t="shared" si="34"/>
        <v>157571.2334</v>
      </c>
      <c r="AC41" s="275"/>
      <c r="AD41" s="221"/>
    </row>
    <row r="42" spans="2:30" ht="15" customHeight="1">
      <c r="B42" s="216"/>
      <c r="C42" s="231"/>
      <c r="D42" s="276" t="s">
        <v>606</v>
      </c>
      <c r="E42" s="277"/>
      <c r="F42" s="251"/>
      <c r="G42" s="252">
        <v>0</v>
      </c>
      <c r="H42" s="253">
        <f t="shared" si="27"/>
        <v>0</v>
      </c>
      <c r="I42" s="254"/>
      <c r="J42" s="251">
        <v>0</v>
      </c>
      <c r="K42" s="252">
        <v>45000</v>
      </c>
      <c r="L42" s="253">
        <f t="shared" si="28"/>
        <v>0</v>
      </c>
      <c r="M42" s="274"/>
      <c r="N42" s="251">
        <v>1</v>
      </c>
      <c r="O42" s="252">
        <v>45000</v>
      </c>
      <c r="P42" s="253">
        <f t="shared" si="31"/>
        <v>45000</v>
      </c>
      <c r="Q42" s="274"/>
      <c r="R42" s="251">
        <f t="shared" si="21"/>
        <v>1</v>
      </c>
      <c r="S42" s="252">
        <f t="shared" si="22"/>
        <v>46350</v>
      </c>
      <c r="T42" s="253">
        <f t="shared" si="32"/>
        <v>46350</v>
      </c>
      <c r="U42" s="274"/>
      <c r="V42" s="251">
        <f t="shared" si="23"/>
        <v>1</v>
      </c>
      <c r="W42" s="252">
        <f t="shared" si="24"/>
        <v>47740.5</v>
      </c>
      <c r="X42" s="253">
        <f t="shared" si="33"/>
        <v>47740.5</v>
      </c>
      <c r="Y42" s="274"/>
      <c r="Z42" s="251">
        <f t="shared" si="25"/>
        <v>1</v>
      </c>
      <c r="AA42" s="252">
        <f t="shared" si="26"/>
        <v>49172.715000000004</v>
      </c>
      <c r="AB42" s="253">
        <f t="shared" si="34"/>
        <v>49172.715000000004</v>
      </c>
      <c r="AC42" s="275"/>
      <c r="AD42" s="221"/>
    </row>
    <row r="43" spans="2:30" ht="15" customHeight="1">
      <c r="B43" s="216"/>
      <c r="C43" s="231"/>
      <c r="D43" s="256" t="s">
        <v>602</v>
      </c>
      <c r="E43" s="217"/>
      <c r="F43" s="251"/>
      <c r="G43" s="252">
        <v>0</v>
      </c>
      <c r="H43" s="253">
        <f t="shared" si="15"/>
        <v>0</v>
      </c>
      <c r="I43" s="254"/>
      <c r="J43" s="251">
        <v>1</v>
      </c>
      <c r="K43" s="252">
        <v>40000</v>
      </c>
      <c r="L43" s="253">
        <f t="shared" si="16"/>
        <v>40000</v>
      </c>
      <c r="M43" s="274"/>
      <c r="N43" s="251">
        <f t="shared" si="29"/>
        <v>1</v>
      </c>
      <c r="O43" s="252">
        <f t="shared" si="30"/>
        <v>41200</v>
      </c>
      <c r="P43" s="253">
        <f t="shared" si="17"/>
        <v>41200</v>
      </c>
      <c r="Q43" s="274"/>
      <c r="R43" s="251">
        <f t="shared" si="21"/>
        <v>1</v>
      </c>
      <c r="S43" s="252">
        <f t="shared" si="22"/>
        <v>42436</v>
      </c>
      <c r="T43" s="253">
        <f t="shared" si="18"/>
        <v>42436</v>
      </c>
      <c r="U43" s="274"/>
      <c r="V43" s="251">
        <f t="shared" si="23"/>
        <v>1</v>
      </c>
      <c r="W43" s="252">
        <f t="shared" si="24"/>
        <v>43709.08</v>
      </c>
      <c r="X43" s="253">
        <f t="shared" si="19"/>
        <v>43709.08</v>
      </c>
      <c r="Y43" s="274"/>
      <c r="Z43" s="251">
        <f t="shared" si="25"/>
        <v>1</v>
      </c>
      <c r="AA43" s="252">
        <f t="shared" si="26"/>
        <v>45020.3524</v>
      </c>
      <c r="AB43" s="253">
        <f t="shared" si="20"/>
        <v>45020.3524</v>
      </c>
      <c r="AC43" s="275"/>
      <c r="AD43" s="221"/>
    </row>
    <row r="44" spans="2:30" ht="15" customHeight="1">
      <c r="B44" s="216"/>
      <c r="C44" s="231"/>
      <c r="D44" s="256" t="s">
        <v>603</v>
      </c>
      <c r="E44" s="217"/>
      <c r="F44" s="251"/>
      <c r="G44" s="252">
        <v>0</v>
      </c>
      <c r="H44" s="253">
        <f t="shared" si="15"/>
        <v>0</v>
      </c>
      <c r="I44" s="254"/>
      <c r="J44" s="251">
        <v>1</v>
      </c>
      <c r="K44" s="252">
        <v>40000</v>
      </c>
      <c r="L44" s="253">
        <f t="shared" si="16"/>
        <v>40000</v>
      </c>
      <c r="M44" s="274"/>
      <c r="N44" s="251">
        <f t="shared" si="29"/>
        <v>1</v>
      </c>
      <c r="O44" s="252">
        <f t="shared" si="30"/>
        <v>41200</v>
      </c>
      <c r="P44" s="253">
        <f t="shared" si="17"/>
        <v>41200</v>
      </c>
      <c r="Q44" s="274"/>
      <c r="R44" s="251">
        <f t="shared" si="21"/>
        <v>1</v>
      </c>
      <c r="S44" s="252">
        <f t="shared" si="22"/>
        <v>42436</v>
      </c>
      <c r="T44" s="253">
        <f t="shared" si="18"/>
        <v>42436</v>
      </c>
      <c r="U44" s="274"/>
      <c r="V44" s="251">
        <f t="shared" si="23"/>
        <v>1</v>
      </c>
      <c r="W44" s="252">
        <f t="shared" si="24"/>
        <v>43709.08</v>
      </c>
      <c r="X44" s="253">
        <f t="shared" si="19"/>
        <v>43709.08</v>
      </c>
      <c r="Y44" s="274"/>
      <c r="Z44" s="251">
        <f t="shared" si="25"/>
        <v>1</v>
      </c>
      <c r="AA44" s="252">
        <f t="shared" si="26"/>
        <v>45020.3524</v>
      </c>
      <c r="AB44" s="253">
        <f t="shared" si="20"/>
        <v>45020.3524</v>
      </c>
      <c r="AC44" s="275"/>
      <c r="AD44" s="221"/>
    </row>
    <row r="45" spans="2:30" ht="15" customHeight="1">
      <c r="B45" s="216"/>
      <c r="C45" s="231"/>
      <c r="D45" s="256" t="s">
        <v>497</v>
      </c>
      <c r="E45" s="217"/>
      <c r="F45" s="251"/>
      <c r="G45" s="252">
        <v>0</v>
      </c>
      <c r="H45" s="253">
        <f t="shared" si="15"/>
        <v>0</v>
      </c>
      <c r="I45" s="254"/>
      <c r="J45" s="251">
        <v>1</v>
      </c>
      <c r="K45" s="252">
        <v>45000</v>
      </c>
      <c r="L45" s="253">
        <f t="shared" si="16"/>
        <v>45000</v>
      </c>
      <c r="M45" s="274"/>
      <c r="N45" s="251">
        <f t="shared" si="29"/>
        <v>1</v>
      </c>
      <c r="O45" s="252">
        <f t="shared" si="30"/>
        <v>46350</v>
      </c>
      <c r="P45" s="253">
        <f t="shared" si="17"/>
        <v>46350</v>
      </c>
      <c r="Q45" s="274"/>
      <c r="R45" s="251">
        <f t="shared" si="21"/>
        <v>1</v>
      </c>
      <c r="S45" s="252">
        <f t="shared" si="22"/>
        <v>47740.5</v>
      </c>
      <c r="T45" s="253">
        <f t="shared" si="18"/>
        <v>47740.5</v>
      </c>
      <c r="U45" s="274"/>
      <c r="V45" s="251">
        <f t="shared" si="23"/>
        <v>1</v>
      </c>
      <c r="W45" s="252">
        <f t="shared" si="24"/>
        <v>49172.715000000004</v>
      </c>
      <c r="X45" s="253">
        <f t="shared" si="19"/>
        <v>49172.715000000004</v>
      </c>
      <c r="Y45" s="274"/>
      <c r="Z45" s="251">
        <f t="shared" si="25"/>
        <v>1</v>
      </c>
      <c r="AA45" s="252">
        <f t="shared" si="26"/>
        <v>50647.89645000001</v>
      </c>
      <c r="AB45" s="253">
        <f t="shared" si="20"/>
        <v>50647.89645000001</v>
      </c>
      <c r="AC45" s="275"/>
      <c r="AD45" s="221"/>
    </row>
    <row r="46" spans="2:30" ht="15" customHeight="1">
      <c r="B46" s="216"/>
      <c r="C46" s="231"/>
      <c r="D46" s="256" t="s">
        <v>605</v>
      </c>
      <c r="E46" s="217"/>
      <c r="F46" s="251"/>
      <c r="G46" s="252">
        <v>0</v>
      </c>
      <c r="H46" s="253">
        <f t="shared" si="15"/>
        <v>0</v>
      </c>
      <c r="I46" s="254"/>
      <c r="J46" s="251">
        <v>2</v>
      </c>
      <c r="K46" s="252">
        <v>20000</v>
      </c>
      <c r="L46" s="253">
        <f t="shared" si="16"/>
        <v>40000</v>
      </c>
      <c r="M46" s="274"/>
      <c r="N46" s="251">
        <v>3</v>
      </c>
      <c r="O46" s="252">
        <f t="shared" si="30"/>
        <v>20600</v>
      </c>
      <c r="P46" s="253">
        <f t="shared" si="17"/>
        <v>61800</v>
      </c>
      <c r="Q46" s="274"/>
      <c r="R46" s="251">
        <v>4</v>
      </c>
      <c r="S46" s="252">
        <f t="shared" si="22"/>
        <v>21218</v>
      </c>
      <c r="T46" s="253">
        <f t="shared" si="18"/>
        <v>84872</v>
      </c>
      <c r="U46" s="274"/>
      <c r="V46" s="251">
        <f t="shared" si="23"/>
        <v>4</v>
      </c>
      <c r="W46" s="252">
        <f t="shared" si="24"/>
        <v>21854.54</v>
      </c>
      <c r="X46" s="253">
        <f t="shared" si="19"/>
        <v>87418.16</v>
      </c>
      <c r="Y46" s="274"/>
      <c r="Z46" s="251">
        <f t="shared" si="25"/>
        <v>4</v>
      </c>
      <c r="AA46" s="252">
        <f t="shared" si="26"/>
        <v>22510.1762</v>
      </c>
      <c r="AB46" s="253">
        <f t="shared" si="20"/>
        <v>90040.7048</v>
      </c>
      <c r="AC46" s="275"/>
      <c r="AD46" s="221"/>
    </row>
    <row r="47" spans="2:30" ht="15" customHeight="1">
      <c r="B47" s="216"/>
      <c r="C47" s="231"/>
      <c r="D47" s="256" t="s">
        <v>604</v>
      </c>
      <c r="E47" s="217"/>
      <c r="F47" s="251"/>
      <c r="G47" s="252">
        <v>0</v>
      </c>
      <c r="H47" s="253">
        <f t="shared" si="15"/>
        <v>0</v>
      </c>
      <c r="I47" s="254"/>
      <c r="J47" s="251">
        <v>2</v>
      </c>
      <c r="K47" s="252">
        <v>30000</v>
      </c>
      <c r="L47" s="253">
        <f t="shared" si="16"/>
        <v>60000</v>
      </c>
      <c r="M47" s="274"/>
      <c r="N47" s="251">
        <f t="shared" si="29"/>
        <v>2</v>
      </c>
      <c r="O47" s="252">
        <f t="shared" si="30"/>
        <v>30900</v>
      </c>
      <c r="P47" s="253">
        <f t="shared" si="17"/>
        <v>61800</v>
      </c>
      <c r="Q47" s="274"/>
      <c r="R47" s="251">
        <f t="shared" si="21"/>
        <v>2</v>
      </c>
      <c r="S47" s="252">
        <f t="shared" si="22"/>
        <v>31827</v>
      </c>
      <c r="T47" s="253">
        <f t="shared" si="18"/>
        <v>63654</v>
      </c>
      <c r="U47" s="274"/>
      <c r="V47" s="251">
        <f t="shared" si="23"/>
        <v>2</v>
      </c>
      <c r="W47" s="252">
        <f t="shared" si="24"/>
        <v>32781.81</v>
      </c>
      <c r="X47" s="253">
        <f t="shared" si="19"/>
        <v>65563.62</v>
      </c>
      <c r="Y47" s="274"/>
      <c r="Z47" s="251">
        <f t="shared" si="25"/>
        <v>2</v>
      </c>
      <c r="AA47" s="252">
        <f t="shared" si="26"/>
        <v>33765.264299999995</v>
      </c>
      <c r="AB47" s="253">
        <f t="shared" si="20"/>
        <v>67530.52859999999</v>
      </c>
      <c r="AC47" s="275"/>
      <c r="AD47" s="221"/>
    </row>
    <row r="48" spans="2:30" ht="15" customHeight="1">
      <c r="B48" s="216"/>
      <c r="C48" s="231"/>
      <c r="D48" s="259" t="s">
        <v>111</v>
      </c>
      <c r="E48" s="218"/>
      <c r="F48" s="260">
        <f>SUM(F33:F47)</f>
        <v>0</v>
      </c>
      <c r="G48" s="261"/>
      <c r="H48" s="262">
        <f>SUM(H33:H47)</f>
        <v>0</v>
      </c>
      <c r="I48" s="263"/>
      <c r="J48" s="260">
        <f>SUM(J33:J47)</f>
        <v>11</v>
      </c>
      <c r="K48" s="261"/>
      <c r="L48" s="262">
        <f>SUM(L33:L47)</f>
        <v>555000</v>
      </c>
      <c r="M48" s="278"/>
      <c r="N48" s="260">
        <f>SUM(N33:N47)</f>
        <v>14</v>
      </c>
      <c r="O48" s="261"/>
      <c r="P48" s="262">
        <f>SUM(P33:P47)</f>
        <v>727250</v>
      </c>
      <c r="Q48" s="278"/>
      <c r="R48" s="260">
        <f>SUM(R33:R47)</f>
        <v>16</v>
      </c>
      <c r="S48" s="261"/>
      <c r="T48" s="262">
        <f>SUM(T33:T47)</f>
        <v>844548.5</v>
      </c>
      <c r="U48" s="278"/>
      <c r="V48" s="260">
        <f>SUM(V33:V47)</f>
        <v>17</v>
      </c>
      <c r="W48" s="261"/>
      <c r="X48" s="262">
        <f>SUM(X33:X47)</f>
        <v>946375.845</v>
      </c>
      <c r="Y48" s="278"/>
      <c r="Z48" s="260">
        <f>SUM(Z33:Z47)</f>
        <v>17</v>
      </c>
      <c r="AA48" s="261"/>
      <c r="AB48" s="262">
        <f>SUM(AB33:AB47)</f>
        <v>974767.1203499999</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0</v>
      </c>
      <c r="H52" s="253">
        <f>G52*($F$30+$F$48)</f>
        <v>0</v>
      </c>
      <c r="I52" s="254"/>
      <c r="J52" s="301"/>
      <c r="K52" s="300">
        <v>5000</v>
      </c>
      <c r="L52" s="253">
        <f>K52*($J$30+$J$48)</f>
        <v>130000</v>
      </c>
      <c r="M52" s="254"/>
      <c r="N52" s="301"/>
      <c r="O52" s="300">
        <v>5000</v>
      </c>
      <c r="P52" s="253">
        <f>O52*($N$30+$N$48)</f>
        <v>147500</v>
      </c>
      <c r="Q52" s="254"/>
      <c r="R52" s="301"/>
      <c r="S52" s="300">
        <v>5000</v>
      </c>
      <c r="T52" s="253">
        <f>S52*($R$30+$R$48)</f>
        <v>175000</v>
      </c>
      <c r="U52" s="254"/>
      <c r="V52" s="301"/>
      <c r="W52" s="300">
        <v>5000</v>
      </c>
      <c r="X52" s="253">
        <f>W52*($V$30+$V$48)</f>
        <v>195000</v>
      </c>
      <c r="Y52" s="254"/>
      <c r="Z52" s="301"/>
      <c r="AA52" s="300">
        <v>5000</v>
      </c>
      <c r="AB52" s="253">
        <f>AA52*($Z$30+$Z$48)</f>
        <v>225000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0</v>
      </c>
      <c r="H53" s="253">
        <f>G53*($F$30+$F$48)</f>
        <v>0</v>
      </c>
      <c r="I53" s="254"/>
      <c r="J53" s="301"/>
      <c r="K53" s="300">
        <v>4000</v>
      </c>
      <c r="L53" s="253">
        <f>K53*($J$30+$J$48)</f>
        <v>104000</v>
      </c>
      <c r="M53" s="254"/>
      <c r="N53" s="301"/>
      <c r="O53" s="300">
        <v>4000</v>
      </c>
      <c r="P53" s="253">
        <f>O53*($N$30+$N$48)</f>
        <v>118000</v>
      </c>
      <c r="Q53" s="254"/>
      <c r="R53" s="301"/>
      <c r="S53" s="300">
        <v>4000</v>
      </c>
      <c r="T53" s="253">
        <f>S53*($R$30+$R$48)</f>
        <v>140000</v>
      </c>
      <c r="U53" s="254"/>
      <c r="V53" s="301"/>
      <c r="W53" s="300">
        <v>4000</v>
      </c>
      <c r="X53" s="253">
        <f>W53*($V$30+$V$48)</f>
        <v>156000</v>
      </c>
      <c r="Y53" s="254"/>
      <c r="Z53" s="301"/>
      <c r="AA53" s="300">
        <v>4000</v>
      </c>
      <c r="AB53" s="253">
        <f>AA53*($Z$30+$Z$48)</f>
        <v>180000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0</v>
      </c>
      <c r="I54" s="254"/>
      <c r="J54" s="301"/>
      <c r="K54" s="303">
        <v>0.062</v>
      </c>
      <c r="L54" s="253">
        <f>K54*($L$30+$L$48)</f>
        <v>71796</v>
      </c>
      <c r="M54" s="254"/>
      <c r="N54" s="301"/>
      <c r="O54" s="303">
        <v>0.062</v>
      </c>
      <c r="P54" s="253">
        <f>O54*($P$30+$P$48)</f>
        <v>85097.79</v>
      </c>
      <c r="Q54" s="254"/>
      <c r="R54" s="301"/>
      <c r="S54" s="304">
        <v>0.062</v>
      </c>
      <c r="T54" s="253">
        <f>S54*($T$30+$T$48)</f>
        <v>103272.4762</v>
      </c>
      <c r="U54" s="254"/>
      <c r="V54" s="301"/>
      <c r="W54" s="303">
        <v>0.062</v>
      </c>
      <c r="X54" s="253">
        <f>W54*($X$30+$X$48)</f>
        <v>119513.97084200001</v>
      </c>
      <c r="Y54" s="254"/>
      <c r="Z54" s="301"/>
      <c r="AA54" s="303">
        <v>0.062</v>
      </c>
      <c r="AB54" s="253">
        <f>AA54*($AB$30+$AB$48)</f>
        <v>141591.49971556</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0</v>
      </c>
      <c r="I55" s="254"/>
      <c r="J55" s="301"/>
      <c r="K55" s="305">
        <v>0.0145</v>
      </c>
      <c r="L55" s="253">
        <f>K55*($L$30+$L$48)</f>
        <v>16791</v>
      </c>
      <c r="M55" s="254"/>
      <c r="N55" s="301"/>
      <c r="O55" s="305">
        <v>0.0145</v>
      </c>
      <c r="P55" s="253">
        <f>O55*($P$30+$P$48)</f>
        <v>19901.9025</v>
      </c>
      <c r="Q55" s="254"/>
      <c r="R55" s="301"/>
      <c r="S55" s="306">
        <v>0.0145</v>
      </c>
      <c r="T55" s="253">
        <f>S55*($T$30+$T$48)</f>
        <v>24152.433950000002</v>
      </c>
      <c r="U55" s="254"/>
      <c r="V55" s="301"/>
      <c r="W55" s="305">
        <v>0.0145</v>
      </c>
      <c r="X55" s="253">
        <f>W55*($X$30+$X$48)</f>
        <v>27950.848019500005</v>
      </c>
      <c r="Y55" s="254"/>
      <c r="Z55" s="301"/>
      <c r="AA55" s="305">
        <v>0.0145</v>
      </c>
      <c r="AB55" s="253">
        <f>AA55*($AB$30+$AB$48)</f>
        <v>33114.14106251</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0</v>
      </c>
      <c r="I56" s="254"/>
      <c r="J56" s="301"/>
      <c r="K56" s="303">
        <v>0.025</v>
      </c>
      <c r="L56" s="253">
        <f>K56*($L$30+$L$48)</f>
        <v>28950</v>
      </c>
      <c r="M56" s="254"/>
      <c r="N56" s="301"/>
      <c r="O56" s="303">
        <v>0.025</v>
      </c>
      <c r="P56" s="253">
        <f>O56*($P$30+$P$48)</f>
        <v>34313.625</v>
      </c>
      <c r="Q56" s="254"/>
      <c r="R56" s="301"/>
      <c r="S56" s="304">
        <v>0.025</v>
      </c>
      <c r="T56" s="253">
        <f>S56*($T$30+$T$48)</f>
        <v>41642.1275</v>
      </c>
      <c r="U56" s="254"/>
      <c r="V56" s="301"/>
      <c r="W56" s="303">
        <v>0.025</v>
      </c>
      <c r="X56" s="253">
        <f>W56*($X$30+$X$48)</f>
        <v>48191.117275000004</v>
      </c>
      <c r="Y56" s="254"/>
      <c r="Z56" s="301"/>
      <c r="AA56" s="303">
        <v>0.025</v>
      </c>
      <c r="AB56" s="253">
        <f>AA56*($AB$30+$AB$48)</f>
        <v>57093.346659500006</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73" t="s">
        <v>12</v>
      </c>
      <c r="G62" s="574"/>
      <c r="H62" s="575"/>
      <c r="I62" s="217"/>
      <c r="J62" s="573" t="s">
        <v>7</v>
      </c>
      <c r="K62" s="574"/>
      <c r="L62" s="575"/>
      <c r="M62" s="217"/>
      <c r="N62" s="573" t="s">
        <v>8</v>
      </c>
      <c r="O62" s="574"/>
      <c r="P62" s="575"/>
      <c r="Q62" s="217"/>
      <c r="R62" s="573" t="s">
        <v>9</v>
      </c>
      <c r="S62" s="574"/>
      <c r="T62" s="575"/>
      <c r="U62" s="217"/>
      <c r="V62" s="573" t="s">
        <v>10</v>
      </c>
      <c r="W62" s="574"/>
      <c r="X62" s="575"/>
      <c r="Y62" s="217"/>
      <c r="Z62" s="573" t="s">
        <v>11</v>
      </c>
      <c r="AA62" s="574"/>
      <c r="AB62" s="575"/>
      <c r="AC62" s="230"/>
      <c r="AD62" s="221"/>
      <c r="AE62" s="211"/>
      <c r="AF62" s="211"/>
      <c r="AG62" s="211"/>
      <c r="AH62" s="211"/>
      <c r="AI62" s="211"/>
    </row>
    <row r="63" spans="2:35" ht="15" customHeight="1">
      <c r="B63" s="216"/>
      <c r="C63" s="231"/>
      <c r="D63" s="218"/>
      <c r="E63" s="325"/>
      <c r="F63" s="326" t="s">
        <v>60</v>
      </c>
      <c r="G63" s="327"/>
      <c r="H63" s="285">
        <f>F30+F48</f>
        <v>0</v>
      </c>
      <c r="I63" s="327"/>
      <c r="J63" s="326" t="s">
        <v>60</v>
      </c>
      <c r="K63" s="325"/>
      <c r="L63" s="285">
        <f>J30+J48</f>
        <v>26</v>
      </c>
      <c r="M63" s="325"/>
      <c r="N63" s="326" t="s">
        <v>60</v>
      </c>
      <c r="O63" s="325"/>
      <c r="P63" s="285">
        <f>N30+N48</f>
        <v>29.5</v>
      </c>
      <c r="Q63" s="325"/>
      <c r="R63" s="326" t="s">
        <v>60</v>
      </c>
      <c r="S63" s="325"/>
      <c r="T63" s="285">
        <f>R30+R48</f>
        <v>35</v>
      </c>
      <c r="U63" s="325"/>
      <c r="V63" s="326" t="s">
        <v>60</v>
      </c>
      <c r="W63" s="325"/>
      <c r="X63" s="285">
        <f>V30+V48</f>
        <v>39</v>
      </c>
      <c r="Y63" s="325"/>
      <c r="Z63" s="326" t="s">
        <v>60</v>
      </c>
      <c r="AA63" s="325"/>
      <c r="AB63" s="285">
        <f>Z30+Z48</f>
        <v>45</v>
      </c>
      <c r="AC63" s="255"/>
      <c r="AD63" s="328"/>
      <c r="AE63" s="329"/>
      <c r="AF63" s="329"/>
      <c r="AG63" s="329"/>
      <c r="AH63" s="330"/>
      <c r="AI63" s="329"/>
    </row>
    <row r="64" spans="2:35" ht="15" customHeight="1">
      <c r="B64" s="216"/>
      <c r="C64" s="231"/>
      <c r="D64" s="218"/>
      <c r="E64" s="218"/>
      <c r="F64" s="326" t="s">
        <v>113</v>
      </c>
      <c r="G64" s="331"/>
      <c r="H64" s="332">
        <f>H30+H48</f>
        <v>0</v>
      </c>
      <c r="I64" s="331"/>
      <c r="J64" s="326" t="s">
        <v>113</v>
      </c>
      <c r="K64" s="331"/>
      <c r="L64" s="332">
        <f>L30+L48</f>
        <v>1158000</v>
      </c>
      <c r="M64" s="331"/>
      <c r="N64" s="326" t="s">
        <v>113</v>
      </c>
      <c r="O64" s="331"/>
      <c r="P64" s="332">
        <f>P30+P48</f>
        <v>1372545</v>
      </c>
      <c r="Q64" s="331"/>
      <c r="R64" s="326" t="s">
        <v>113</v>
      </c>
      <c r="S64" s="331"/>
      <c r="T64" s="332">
        <f>T30+T48</f>
        <v>1665685.1</v>
      </c>
      <c r="U64" s="331"/>
      <c r="V64" s="326" t="s">
        <v>113</v>
      </c>
      <c r="W64" s="331"/>
      <c r="X64" s="332">
        <f>X30+X48</f>
        <v>1927644.691</v>
      </c>
      <c r="Y64" s="331"/>
      <c r="Z64" s="326" t="s">
        <v>113</v>
      </c>
      <c r="AA64" s="331"/>
      <c r="AB64" s="332">
        <f>AB30+AB48</f>
        <v>2283733.86638</v>
      </c>
      <c r="AC64" s="230"/>
      <c r="AD64" s="221"/>
      <c r="AE64" s="210"/>
      <c r="AF64" s="210"/>
      <c r="AG64" s="210"/>
      <c r="AH64" s="211"/>
      <c r="AI64" s="210"/>
    </row>
    <row r="65" spans="2:35" ht="15" customHeight="1">
      <c r="B65" s="216"/>
      <c r="C65" s="231"/>
      <c r="D65" s="218"/>
      <c r="E65" s="218"/>
      <c r="F65" s="326" t="s">
        <v>110</v>
      </c>
      <c r="G65" s="217"/>
      <c r="H65" s="333">
        <f>SUM(H52:H58)</f>
        <v>0</v>
      </c>
      <c r="I65" s="217"/>
      <c r="J65" s="326" t="s">
        <v>110</v>
      </c>
      <c r="K65" s="217"/>
      <c r="L65" s="333">
        <f>SUM(L52:L58)</f>
        <v>351537</v>
      </c>
      <c r="M65" s="217"/>
      <c r="N65" s="326" t="s">
        <v>110</v>
      </c>
      <c r="O65" s="217"/>
      <c r="P65" s="333">
        <f>SUM(P52:P58)</f>
        <v>404813.3175</v>
      </c>
      <c r="Q65" s="217"/>
      <c r="R65" s="326" t="s">
        <v>110</v>
      </c>
      <c r="S65" s="217"/>
      <c r="T65" s="333">
        <f>SUM(T52:T58)</f>
        <v>484067.03765</v>
      </c>
      <c r="U65" s="217"/>
      <c r="V65" s="326" t="s">
        <v>110</v>
      </c>
      <c r="W65" s="217"/>
      <c r="X65" s="333">
        <f>SUM(X52:X58)</f>
        <v>546655.9361365</v>
      </c>
      <c r="Y65" s="217"/>
      <c r="Z65" s="326" t="s">
        <v>110</v>
      </c>
      <c r="AA65" s="217"/>
      <c r="AB65" s="333">
        <f>SUM(AB52:AB58)</f>
        <v>636798.98743757</v>
      </c>
      <c r="AC65" s="230"/>
      <c r="AD65" s="221"/>
      <c r="AE65" s="210"/>
      <c r="AF65" s="210"/>
      <c r="AG65" s="210"/>
      <c r="AH65" s="210"/>
      <c r="AI65" s="210"/>
    </row>
    <row r="66" spans="2:35" ht="15" customHeight="1">
      <c r="B66" s="216"/>
      <c r="C66" s="231"/>
      <c r="D66" s="218"/>
      <c r="E66" s="218"/>
      <c r="F66" s="326" t="s">
        <v>114</v>
      </c>
      <c r="G66" s="217"/>
      <c r="H66" s="333">
        <f>H64+H65</f>
        <v>0</v>
      </c>
      <c r="I66" s="217"/>
      <c r="J66" s="326" t="s">
        <v>114</v>
      </c>
      <c r="K66" s="217"/>
      <c r="L66" s="333">
        <f>L64+L65</f>
        <v>1509537</v>
      </c>
      <c r="M66" s="217"/>
      <c r="N66" s="326" t="s">
        <v>114</v>
      </c>
      <c r="O66" s="217"/>
      <c r="P66" s="333">
        <f>P64+P65</f>
        <v>1777358.3175</v>
      </c>
      <c r="Q66" s="217"/>
      <c r="R66" s="326" t="s">
        <v>114</v>
      </c>
      <c r="S66" s="217"/>
      <c r="T66" s="333">
        <f>T64+T65</f>
        <v>2149752.13765</v>
      </c>
      <c r="U66" s="217"/>
      <c r="V66" s="326" t="s">
        <v>114</v>
      </c>
      <c r="W66" s="217"/>
      <c r="X66" s="333">
        <f>X64+X65</f>
        <v>2474300.6271365</v>
      </c>
      <c r="Y66" s="217"/>
      <c r="Z66" s="326" t="s">
        <v>114</v>
      </c>
      <c r="AA66" s="217"/>
      <c r="AB66" s="333">
        <f>AB64+AB65</f>
        <v>2920532.85381757</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t="str">
        <f>_xlfn.IFERROR((ROUND('2. Enrollment Projections'!E33/(J30),0)&amp;":1"),"")</f>
        <v>8:1</v>
      </c>
      <c r="M67" s="274"/>
      <c r="N67" s="326" t="s">
        <v>61</v>
      </c>
      <c r="O67" s="274"/>
      <c r="P67" s="285" t="str">
        <f>_xlfn.IFERROR((ROUND('2. Enrollment Projections'!F33/(N30),0)&amp;":1"),"")</f>
        <v>9:1</v>
      </c>
      <c r="Q67" s="274"/>
      <c r="R67" s="326" t="s">
        <v>61</v>
      </c>
      <c r="S67" s="274"/>
      <c r="T67" s="285" t="str">
        <f>_xlfn.IFERROR((ROUND('2. Enrollment Projections'!G33/(R30),0)&amp;":1"),"")</f>
        <v>8:1</v>
      </c>
      <c r="U67" s="274"/>
      <c r="V67" s="326" t="s">
        <v>61</v>
      </c>
      <c r="W67" s="274"/>
      <c r="X67" s="285" t="str">
        <f>_xlfn.IFERROR((ROUND('2. Enrollment Projections'!H33/(V30),0)&amp;":1"),"")</f>
        <v>8:1</v>
      </c>
      <c r="Y67" s="274"/>
      <c r="Z67" s="326" t="s">
        <v>61</v>
      </c>
      <c r="AA67" s="274"/>
      <c r="AB67" s="285" t="str">
        <f>_xlfn.IFERROR((ROUND('2. Enrollment Projections'!I33/(Z30),0)&amp;":1"),"")</f>
        <v>7:1</v>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t="str">
        <f>_xlfn.IFERROR((ROUND('2. Enrollment Projections'!E33/(J48),0)&amp;":1"),"")</f>
        <v>11:1</v>
      </c>
      <c r="M68" s="274"/>
      <c r="N68" s="334" t="s">
        <v>62</v>
      </c>
      <c r="O68" s="335"/>
      <c r="P68" s="336" t="str">
        <f>_xlfn.IFERROR((ROUND('2. Enrollment Projections'!F33/(N48),0)&amp;":1"),"")</f>
        <v>10:1</v>
      </c>
      <c r="Q68" s="274"/>
      <c r="R68" s="334" t="s">
        <v>62</v>
      </c>
      <c r="S68" s="335"/>
      <c r="T68" s="336" t="str">
        <f>_xlfn.IFERROR((ROUND('2. Enrollment Projections'!G33/(R48),0)&amp;":1"),"")</f>
        <v>10:1</v>
      </c>
      <c r="U68" s="274"/>
      <c r="V68" s="334" t="s">
        <v>62</v>
      </c>
      <c r="W68" s="335"/>
      <c r="X68" s="336" t="str">
        <f>_xlfn.IFERROR((ROUND('2. Enrollment Projections'!H33/(V48),0)&amp;":1"),"")</f>
        <v>11:1</v>
      </c>
      <c r="Y68" s="274"/>
      <c r="Z68" s="334" t="s">
        <v>62</v>
      </c>
      <c r="AA68" s="335"/>
      <c r="AB68" s="336" t="str">
        <f>_xlfn.IFERROR((ROUND('2. Enrollment Projections'!I33/(Z48),0)&amp;":1"),"")</f>
        <v>12:1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1" t="s">
        <v>57</v>
      </c>
      <c r="D71" s="582"/>
      <c r="E71" s="582"/>
      <c r="F71" s="582"/>
      <c r="G71" s="582"/>
      <c r="H71" s="582"/>
      <c r="I71" s="582"/>
      <c r="J71" s="582"/>
      <c r="K71" s="582"/>
      <c r="L71" s="582"/>
      <c r="M71" s="582"/>
      <c r="N71" s="582"/>
      <c r="O71" s="582"/>
      <c r="P71" s="582"/>
      <c r="Q71" s="582"/>
      <c r="R71" s="582"/>
      <c r="S71" s="217"/>
      <c r="T71" s="217"/>
      <c r="U71" s="217"/>
      <c r="V71" s="217"/>
      <c r="W71" s="217"/>
      <c r="X71" s="217"/>
      <c r="Y71" s="217"/>
      <c r="Z71" s="217"/>
      <c r="AA71" s="217"/>
      <c r="AB71" s="217"/>
      <c r="AC71" s="217"/>
      <c r="AD71" s="221"/>
    </row>
    <row r="72" spans="2:30" s="211" customFormat="1" ht="27.75" customHeight="1">
      <c r="B72" s="216"/>
      <c r="C72" s="593" t="s">
        <v>549</v>
      </c>
      <c r="D72" s="594"/>
      <c r="E72" s="594"/>
      <c r="F72" s="594"/>
      <c r="G72" s="594"/>
      <c r="H72" s="594"/>
      <c r="I72" s="594"/>
      <c r="J72" s="594"/>
      <c r="K72" s="594"/>
      <c r="L72" s="594"/>
      <c r="M72" s="594"/>
      <c r="N72" s="594"/>
      <c r="O72" s="594"/>
      <c r="P72" s="594"/>
      <c r="Q72" s="594"/>
      <c r="R72" s="594"/>
      <c r="S72" s="594"/>
      <c r="T72" s="594"/>
      <c r="U72" s="594"/>
      <c r="V72" s="594"/>
      <c r="W72" s="594"/>
      <c r="X72" s="217"/>
      <c r="Y72" s="217"/>
      <c r="Z72" s="217"/>
      <c r="AA72" s="217"/>
      <c r="AB72" s="217"/>
      <c r="AC72" s="217"/>
      <c r="AD72" s="221"/>
    </row>
    <row r="73" spans="2:30" s="211" customFormat="1" ht="27.75" customHeight="1">
      <c r="B73" s="216"/>
      <c r="C73" s="594"/>
      <c r="D73" s="594"/>
      <c r="E73" s="594"/>
      <c r="F73" s="594"/>
      <c r="G73" s="594"/>
      <c r="H73" s="594"/>
      <c r="I73" s="594"/>
      <c r="J73" s="594"/>
      <c r="K73" s="594"/>
      <c r="L73" s="594"/>
      <c r="M73" s="594"/>
      <c r="N73" s="594"/>
      <c r="O73" s="594"/>
      <c r="P73" s="594"/>
      <c r="Q73" s="594"/>
      <c r="R73" s="594"/>
      <c r="S73" s="594"/>
      <c r="T73" s="594"/>
      <c r="U73" s="594"/>
      <c r="V73" s="594"/>
      <c r="W73" s="594"/>
      <c r="X73" s="217"/>
      <c r="Y73" s="217"/>
      <c r="Z73" s="217"/>
      <c r="AA73" s="217"/>
      <c r="AB73" s="217"/>
      <c r="AC73" s="217"/>
      <c r="AD73" s="221"/>
    </row>
    <row r="74" spans="2:30" s="211" customFormat="1" ht="27.75" customHeight="1">
      <c r="B74" s="216"/>
      <c r="C74" s="594"/>
      <c r="D74" s="594"/>
      <c r="E74" s="594"/>
      <c r="F74" s="594"/>
      <c r="G74" s="594"/>
      <c r="H74" s="594"/>
      <c r="I74" s="594"/>
      <c r="J74" s="594"/>
      <c r="K74" s="594"/>
      <c r="L74" s="594"/>
      <c r="M74" s="594"/>
      <c r="N74" s="594"/>
      <c r="O74" s="594"/>
      <c r="P74" s="594"/>
      <c r="Q74" s="594"/>
      <c r="R74" s="594"/>
      <c r="S74" s="594"/>
      <c r="T74" s="594"/>
      <c r="U74" s="594"/>
      <c r="V74" s="594"/>
      <c r="W74" s="594"/>
      <c r="X74" s="217"/>
      <c r="Y74" s="217"/>
      <c r="Z74" s="217"/>
      <c r="AA74" s="217"/>
      <c r="AB74" s="217"/>
      <c r="AC74" s="217"/>
      <c r="AD74" s="221"/>
    </row>
    <row r="75" spans="2:30" s="211" customFormat="1" ht="24" customHeight="1">
      <c r="B75" s="216"/>
      <c r="C75" s="594"/>
      <c r="D75" s="594"/>
      <c r="E75" s="594"/>
      <c r="F75" s="594"/>
      <c r="G75" s="594"/>
      <c r="H75" s="594"/>
      <c r="I75" s="594"/>
      <c r="J75" s="594"/>
      <c r="K75" s="594"/>
      <c r="L75" s="594"/>
      <c r="M75" s="594"/>
      <c r="N75" s="594"/>
      <c r="O75" s="594"/>
      <c r="P75" s="594"/>
      <c r="Q75" s="594"/>
      <c r="R75" s="594"/>
      <c r="S75" s="594"/>
      <c r="T75" s="594"/>
      <c r="U75" s="594"/>
      <c r="V75" s="594"/>
      <c r="W75" s="594"/>
      <c r="X75" s="217"/>
      <c r="Y75" s="217"/>
      <c r="Z75" s="217"/>
      <c r="AA75" s="217"/>
      <c r="AB75" s="217"/>
      <c r="AC75" s="217"/>
      <c r="AD75" s="221"/>
    </row>
    <row r="76" spans="2:30" s="211" customFormat="1" ht="28.5" customHeight="1">
      <c r="B76" s="216"/>
      <c r="C76" s="583" t="s">
        <v>548</v>
      </c>
      <c r="D76" s="584"/>
      <c r="E76" s="584"/>
      <c r="F76" s="584"/>
      <c r="G76" s="584"/>
      <c r="H76" s="584"/>
      <c r="I76" s="584"/>
      <c r="J76" s="584"/>
      <c r="K76" s="584"/>
      <c r="L76" s="584"/>
      <c r="M76" s="584"/>
      <c r="N76" s="584"/>
      <c r="O76" s="584"/>
      <c r="P76" s="584"/>
      <c r="Q76" s="584"/>
      <c r="R76" s="584"/>
      <c r="S76" s="584"/>
      <c r="T76" s="584"/>
      <c r="U76" s="584"/>
      <c r="V76" s="584"/>
      <c r="W76" s="584"/>
      <c r="X76" s="217"/>
      <c r="Y76" s="217"/>
      <c r="Z76" s="217"/>
      <c r="AA76" s="217"/>
      <c r="AB76" s="217"/>
      <c r="AC76" s="217"/>
      <c r="AD76" s="221"/>
    </row>
    <row r="77" spans="2:30" s="211" customFormat="1" ht="19.5" customHeight="1">
      <c r="B77" s="216"/>
      <c r="C77" s="583" t="s">
        <v>546</v>
      </c>
      <c r="D77" s="584"/>
      <c r="E77" s="584"/>
      <c r="F77" s="584"/>
      <c r="G77" s="584"/>
      <c r="H77" s="584"/>
      <c r="I77" s="584"/>
      <c r="J77" s="584"/>
      <c r="K77" s="584"/>
      <c r="L77" s="584"/>
      <c r="M77" s="584"/>
      <c r="N77" s="584"/>
      <c r="O77" s="584"/>
      <c r="P77" s="584"/>
      <c r="Q77" s="584"/>
      <c r="R77" s="584"/>
      <c r="S77" s="584"/>
      <c r="T77" s="584"/>
      <c r="U77" s="584"/>
      <c r="V77" s="584"/>
      <c r="W77" s="584"/>
      <c r="X77" s="217"/>
      <c r="Y77" s="217"/>
      <c r="Z77" s="217"/>
      <c r="AA77" s="217"/>
      <c r="AB77" s="217"/>
      <c r="AC77" s="217"/>
      <c r="AD77" s="221"/>
    </row>
    <row r="78" spans="2:30" s="211" customFormat="1" ht="19.5" customHeight="1">
      <c r="B78" s="216"/>
      <c r="C78" s="583" t="s">
        <v>547</v>
      </c>
      <c r="D78" s="584"/>
      <c r="E78" s="584"/>
      <c r="F78" s="584"/>
      <c r="G78" s="584"/>
      <c r="H78" s="584"/>
      <c r="I78" s="584"/>
      <c r="J78" s="584"/>
      <c r="K78" s="584"/>
      <c r="L78" s="584"/>
      <c r="M78" s="584"/>
      <c r="N78" s="584"/>
      <c r="O78" s="584"/>
      <c r="P78" s="584"/>
      <c r="Q78" s="584"/>
      <c r="R78" s="584"/>
      <c r="S78" s="584"/>
      <c r="T78" s="584"/>
      <c r="U78" s="584"/>
      <c r="V78" s="584"/>
      <c r="W78" s="584"/>
      <c r="X78" s="217"/>
      <c r="Y78" s="217"/>
      <c r="Z78" s="217"/>
      <c r="AA78" s="217"/>
      <c r="AB78" s="217"/>
      <c r="AC78" s="217"/>
      <c r="AD78" s="221"/>
    </row>
    <row r="79" spans="2:30" s="211" customFormat="1" ht="19.5" customHeight="1">
      <c r="B79" s="216"/>
      <c r="C79" s="583" t="s">
        <v>588</v>
      </c>
      <c r="D79" s="584"/>
      <c r="E79" s="584"/>
      <c r="F79" s="584"/>
      <c r="G79" s="584"/>
      <c r="H79" s="584"/>
      <c r="I79" s="584"/>
      <c r="J79" s="584"/>
      <c r="K79" s="584"/>
      <c r="L79" s="584"/>
      <c r="M79" s="584"/>
      <c r="N79" s="584"/>
      <c r="O79" s="584"/>
      <c r="P79" s="584"/>
      <c r="Q79" s="584"/>
      <c r="R79" s="584"/>
      <c r="S79" s="584"/>
      <c r="T79" s="584"/>
      <c r="U79" s="584"/>
      <c r="V79" s="584"/>
      <c r="W79" s="584"/>
      <c r="X79" s="217"/>
      <c r="Y79" s="217"/>
      <c r="Z79" s="217"/>
      <c r="AA79" s="217"/>
      <c r="AB79" s="217"/>
      <c r="AC79" s="217"/>
      <c r="AD79" s="221"/>
    </row>
    <row r="80" spans="2:30" ht="14.2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4.25">
      <c r="B81" s="210"/>
      <c r="C81" s="210"/>
      <c r="D81" s="210"/>
      <c r="F81" s="210"/>
      <c r="G81" s="210"/>
      <c r="H81" s="210"/>
      <c r="J81" s="210"/>
      <c r="K81" s="210"/>
      <c r="L81" s="210"/>
      <c r="N81" s="210"/>
      <c r="O81" s="210"/>
      <c r="P81" s="210"/>
      <c r="R81" s="210"/>
      <c r="S81" s="210"/>
      <c r="T81" s="210"/>
    </row>
    <row r="82" spans="2:20" ht="14.25">
      <c r="B82" s="210"/>
      <c r="C82" s="210"/>
      <c r="D82" s="210"/>
      <c r="F82" s="128"/>
      <c r="G82" s="210"/>
      <c r="H82" s="210"/>
      <c r="J82" s="210"/>
      <c r="K82" s="210"/>
      <c r="L82" s="210"/>
      <c r="N82" s="210"/>
      <c r="O82" s="210"/>
      <c r="P82" s="210"/>
      <c r="R82" s="210"/>
      <c r="S82" s="210"/>
      <c r="T82" s="210"/>
    </row>
    <row r="83" spans="2:20" ht="14.25">
      <c r="B83" s="210"/>
      <c r="C83" s="210"/>
      <c r="D83" s="210"/>
      <c r="F83" s="128"/>
      <c r="G83" s="342"/>
      <c r="H83" s="210"/>
      <c r="J83" s="210"/>
      <c r="K83" s="210"/>
      <c r="L83" s="210"/>
      <c r="N83" s="210"/>
      <c r="O83" s="210"/>
      <c r="P83" s="210"/>
      <c r="R83" s="210"/>
      <c r="S83" s="210"/>
      <c r="T83" s="210"/>
    </row>
    <row r="84" spans="2:20" ht="14.25">
      <c r="B84" s="210"/>
      <c r="C84" s="210"/>
      <c r="D84" s="210"/>
      <c r="F84" s="210"/>
      <c r="G84" s="210"/>
      <c r="H84" s="210"/>
      <c r="J84" s="210"/>
      <c r="K84" s="210"/>
      <c r="L84" s="210"/>
      <c r="N84" s="210"/>
      <c r="O84" s="210"/>
      <c r="P84" s="210"/>
      <c r="R84" s="210"/>
      <c r="S84" s="210"/>
      <c r="T84" s="210"/>
    </row>
    <row r="85" spans="2:20" ht="14.25">
      <c r="B85" s="210"/>
      <c r="C85" s="210"/>
      <c r="D85" s="210"/>
      <c r="F85" s="210"/>
      <c r="G85" s="210"/>
      <c r="H85" s="210"/>
      <c r="J85" s="210"/>
      <c r="K85" s="210"/>
      <c r="L85" s="210"/>
      <c r="N85" s="210"/>
      <c r="O85" s="210"/>
      <c r="P85" s="210"/>
      <c r="R85" s="210"/>
      <c r="S85" s="210"/>
      <c r="T85" s="210"/>
    </row>
    <row r="86" spans="2:20" ht="14.25">
      <c r="B86" s="210"/>
      <c r="C86" s="210"/>
      <c r="D86" s="210"/>
      <c r="F86" s="210"/>
      <c r="G86" s="210"/>
      <c r="H86" s="210"/>
      <c r="J86" s="210"/>
      <c r="K86" s="210"/>
      <c r="L86" s="210"/>
      <c r="N86" s="210"/>
      <c r="O86" s="210"/>
      <c r="P86" s="210"/>
      <c r="R86" s="210"/>
      <c r="S86" s="210"/>
      <c r="T86" s="210"/>
    </row>
    <row r="87" spans="2:20" ht="14.25">
      <c r="B87" s="210"/>
      <c r="C87" s="210"/>
      <c r="D87" s="210"/>
      <c r="F87" s="210"/>
      <c r="G87" s="210"/>
      <c r="H87" s="210"/>
      <c r="J87" s="210"/>
      <c r="K87" s="210"/>
      <c r="L87" s="210"/>
      <c r="N87" s="210"/>
      <c r="O87" s="210"/>
      <c r="P87" s="210"/>
      <c r="R87" s="210"/>
      <c r="S87" s="210"/>
      <c r="T87" s="210"/>
    </row>
    <row r="88" spans="2:20" ht="14.25">
      <c r="B88" s="210"/>
      <c r="C88" s="210"/>
      <c r="D88" s="210"/>
      <c r="F88" s="210"/>
      <c r="G88" s="210"/>
      <c r="H88" s="210"/>
      <c r="J88" s="210"/>
      <c r="K88" s="210"/>
      <c r="L88" s="210"/>
      <c r="N88" s="210"/>
      <c r="O88" s="210"/>
      <c r="P88" s="210"/>
      <c r="R88" s="210"/>
      <c r="S88" s="210"/>
      <c r="T88" s="210"/>
    </row>
    <row r="89" spans="2:20" ht="14.25">
      <c r="B89" s="210"/>
      <c r="C89" s="210"/>
      <c r="D89" s="210"/>
      <c r="F89" s="210"/>
      <c r="G89" s="210"/>
      <c r="H89" s="210"/>
      <c r="J89" s="210"/>
      <c r="K89" s="210"/>
      <c r="L89" s="210"/>
      <c r="N89" s="210"/>
      <c r="O89" s="210"/>
      <c r="P89" s="210"/>
      <c r="R89" s="210"/>
      <c r="S89" s="210"/>
      <c r="T89" s="210"/>
    </row>
    <row r="90" spans="2:20" ht="14.25">
      <c r="B90" s="210"/>
      <c r="C90" s="210"/>
      <c r="D90" s="210"/>
      <c r="F90" s="210"/>
      <c r="G90" s="210"/>
      <c r="H90" s="210"/>
      <c r="J90" s="210"/>
      <c r="K90" s="210"/>
      <c r="L90" s="210"/>
      <c r="N90" s="210"/>
      <c r="O90" s="210"/>
      <c r="P90" s="210"/>
      <c r="R90" s="210"/>
      <c r="S90" s="210"/>
      <c r="T90" s="210"/>
    </row>
    <row r="91" spans="2:20" ht="14.25">
      <c r="B91" s="210"/>
      <c r="C91" s="210"/>
      <c r="D91" s="210"/>
      <c r="F91" s="210"/>
      <c r="G91" s="210"/>
      <c r="H91" s="210"/>
      <c r="J91" s="210"/>
      <c r="K91" s="210"/>
      <c r="L91" s="210"/>
      <c r="N91" s="210"/>
      <c r="O91" s="210"/>
      <c r="P91" s="210"/>
      <c r="R91" s="210"/>
      <c r="S91" s="210"/>
      <c r="T91" s="210"/>
    </row>
    <row r="92" spans="2:20" ht="14.25">
      <c r="B92" s="210"/>
      <c r="C92" s="210"/>
      <c r="D92" s="210"/>
      <c r="F92" s="210"/>
      <c r="G92" s="210"/>
      <c r="H92" s="210"/>
      <c r="J92" s="210"/>
      <c r="K92" s="210"/>
      <c r="L92" s="210"/>
      <c r="N92" s="210"/>
      <c r="O92" s="210"/>
      <c r="P92" s="210"/>
      <c r="R92" s="210"/>
      <c r="S92" s="210"/>
      <c r="T92" s="210"/>
    </row>
    <row r="93" spans="2:20" ht="14.25">
      <c r="B93" s="210"/>
      <c r="C93" s="210"/>
      <c r="D93" s="210"/>
      <c r="F93" s="210"/>
      <c r="G93" s="210"/>
      <c r="H93" s="210"/>
      <c r="J93" s="210"/>
      <c r="K93" s="210"/>
      <c r="L93" s="210"/>
      <c r="N93" s="210"/>
      <c r="O93" s="210"/>
      <c r="P93" s="210"/>
      <c r="R93" s="210"/>
      <c r="S93" s="210"/>
      <c r="T93" s="210"/>
    </row>
    <row r="94" spans="2:20" ht="14.25">
      <c r="B94" s="210"/>
      <c r="C94" s="210"/>
      <c r="D94" s="210"/>
      <c r="F94" s="210"/>
      <c r="G94" s="210"/>
      <c r="H94" s="210"/>
      <c r="J94" s="210"/>
      <c r="K94" s="210"/>
      <c r="L94" s="210"/>
      <c r="N94" s="210"/>
      <c r="O94" s="210"/>
      <c r="P94" s="210"/>
      <c r="R94" s="210"/>
      <c r="S94" s="210"/>
      <c r="T94" s="210"/>
    </row>
    <row r="95" spans="2:20" ht="14.25">
      <c r="B95" s="210"/>
      <c r="C95" s="210"/>
      <c r="D95" s="210"/>
      <c r="F95" s="210"/>
      <c r="G95" s="210"/>
      <c r="H95" s="210"/>
      <c r="J95" s="210"/>
      <c r="K95" s="210"/>
      <c r="L95" s="210"/>
      <c r="N95" s="210"/>
      <c r="O95" s="210"/>
      <c r="P95" s="210"/>
      <c r="R95" s="210"/>
      <c r="S95" s="210"/>
      <c r="T95" s="210"/>
    </row>
    <row r="96" spans="2:20" ht="14.25">
      <c r="B96" s="210"/>
      <c r="C96" s="210"/>
      <c r="D96" s="210"/>
      <c r="F96" s="210"/>
      <c r="G96" s="210"/>
      <c r="H96" s="210"/>
      <c r="J96" s="210"/>
      <c r="K96" s="210"/>
      <c r="L96" s="210"/>
      <c r="N96" s="210"/>
      <c r="O96" s="210"/>
      <c r="P96" s="210"/>
      <c r="R96" s="210"/>
      <c r="S96" s="210"/>
      <c r="T96" s="210"/>
    </row>
    <row r="97" spans="2:20" ht="14.25">
      <c r="B97" s="210"/>
      <c r="C97" s="210"/>
      <c r="D97" s="210"/>
      <c r="F97" s="210"/>
      <c r="G97" s="210"/>
      <c r="H97" s="210"/>
      <c r="J97" s="210"/>
      <c r="K97" s="210"/>
      <c r="L97" s="210"/>
      <c r="N97" s="210"/>
      <c r="O97" s="210"/>
      <c r="P97" s="210"/>
      <c r="R97" s="210"/>
      <c r="S97" s="210"/>
      <c r="T97" s="210"/>
    </row>
    <row r="98" spans="2:20" ht="14.25">
      <c r="B98" s="210"/>
      <c r="C98" s="210"/>
      <c r="D98" s="210"/>
      <c r="F98" s="210"/>
      <c r="G98" s="210"/>
      <c r="H98" s="210"/>
      <c r="J98" s="210"/>
      <c r="K98" s="210"/>
      <c r="L98" s="210"/>
      <c r="N98" s="210"/>
      <c r="O98" s="210"/>
      <c r="P98" s="210"/>
      <c r="R98" s="210"/>
      <c r="S98" s="210"/>
      <c r="T98" s="210"/>
    </row>
    <row r="99" spans="2:20" ht="14.25">
      <c r="B99" s="210"/>
      <c r="C99" s="210"/>
      <c r="D99" s="210"/>
      <c r="F99" s="210"/>
      <c r="G99" s="210"/>
      <c r="H99" s="210"/>
      <c r="J99" s="210"/>
      <c r="K99" s="210"/>
      <c r="L99" s="210"/>
      <c r="N99" s="210"/>
      <c r="O99" s="210"/>
      <c r="P99" s="210"/>
      <c r="R99" s="210"/>
      <c r="S99" s="210"/>
      <c r="T99" s="210"/>
    </row>
    <row r="100" spans="2:20" ht="14.25">
      <c r="B100" s="210"/>
      <c r="C100" s="210"/>
      <c r="D100" s="210"/>
      <c r="F100" s="210"/>
      <c r="G100" s="210"/>
      <c r="H100" s="210"/>
      <c r="J100" s="210"/>
      <c r="K100" s="210"/>
      <c r="L100" s="210"/>
      <c r="N100" s="210"/>
      <c r="O100" s="210"/>
      <c r="P100" s="210"/>
      <c r="R100" s="210"/>
      <c r="S100" s="210"/>
      <c r="T100" s="210"/>
    </row>
    <row r="101" spans="2:20" ht="14.25">
      <c r="B101" s="210"/>
      <c r="C101" s="210"/>
      <c r="D101" s="210"/>
      <c r="F101" s="210"/>
      <c r="G101" s="210"/>
      <c r="H101" s="210"/>
      <c r="J101" s="210"/>
      <c r="K101" s="210"/>
      <c r="L101" s="210"/>
      <c r="N101" s="210"/>
      <c r="O101" s="210"/>
      <c r="P101" s="210"/>
      <c r="R101" s="210"/>
      <c r="S101" s="210"/>
      <c r="T101" s="210"/>
    </row>
    <row r="102" spans="2:20" ht="14.25">
      <c r="B102" s="210"/>
      <c r="C102" s="210"/>
      <c r="D102" s="210"/>
      <c r="F102" s="210"/>
      <c r="G102" s="210"/>
      <c r="H102" s="210"/>
      <c r="J102" s="210"/>
      <c r="K102" s="210"/>
      <c r="L102" s="210"/>
      <c r="N102" s="210"/>
      <c r="O102" s="210"/>
      <c r="P102" s="210"/>
      <c r="R102" s="210"/>
      <c r="S102" s="210"/>
      <c r="T102" s="210"/>
    </row>
    <row r="103" spans="2:20" ht="14.25">
      <c r="B103" s="210"/>
      <c r="C103" s="210"/>
      <c r="D103" s="210"/>
      <c r="F103" s="210"/>
      <c r="G103" s="210"/>
      <c r="H103" s="210"/>
      <c r="J103" s="210"/>
      <c r="K103" s="210"/>
      <c r="L103" s="210"/>
      <c r="N103" s="210"/>
      <c r="O103" s="210"/>
      <c r="P103" s="210"/>
      <c r="R103" s="210"/>
      <c r="S103" s="210"/>
      <c r="T103" s="210"/>
    </row>
    <row r="104" spans="2:20" ht="14.25">
      <c r="B104" s="210"/>
      <c r="C104" s="210"/>
      <c r="D104" s="210"/>
      <c r="F104" s="210"/>
      <c r="G104" s="210"/>
      <c r="H104" s="210"/>
      <c r="J104" s="210"/>
      <c r="K104" s="210"/>
      <c r="L104" s="210"/>
      <c r="N104" s="210"/>
      <c r="O104" s="210"/>
      <c r="P104" s="210"/>
      <c r="R104" s="210"/>
      <c r="S104" s="210"/>
      <c r="T104" s="210"/>
    </row>
    <row r="105" spans="2:20" ht="14.25">
      <c r="B105" s="210"/>
      <c r="C105" s="210"/>
      <c r="D105" s="210"/>
      <c r="F105" s="210"/>
      <c r="G105" s="210"/>
      <c r="H105" s="210"/>
      <c r="J105" s="210"/>
      <c r="K105" s="210"/>
      <c r="L105" s="210"/>
      <c r="N105" s="210"/>
      <c r="O105" s="210"/>
      <c r="P105" s="210"/>
      <c r="R105" s="210"/>
      <c r="S105" s="210"/>
      <c r="T105" s="210"/>
    </row>
    <row r="106" spans="2:20" ht="14.25">
      <c r="B106" s="210"/>
      <c r="C106" s="210"/>
      <c r="D106" s="210"/>
      <c r="F106" s="210"/>
      <c r="G106" s="210"/>
      <c r="H106" s="210"/>
      <c r="J106" s="210"/>
      <c r="K106" s="210"/>
      <c r="L106" s="210"/>
      <c r="N106" s="210"/>
      <c r="O106" s="210"/>
      <c r="P106" s="210"/>
      <c r="R106" s="210"/>
      <c r="S106" s="210"/>
      <c r="T106" s="210"/>
    </row>
    <row r="107" spans="2:20" ht="14.25">
      <c r="B107" s="210"/>
      <c r="C107" s="210"/>
      <c r="D107" s="210"/>
      <c r="F107" s="210"/>
      <c r="G107" s="210"/>
      <c r="H107" s="210"/>
      <c r="J107" s="210"/>
      <c r="K107" s="210"/>
      <c r="L107" s="210"/>
      <c r="N107" s="210"/>
      <c r="O107" s="210"/>
      <c r="P107" s="210"/>
      <c r="R107" s="210"/>
      <c r="S107" s="210"/>
      <c r="T107" s="210"/>
    </row>
    <row r="108" spans="2:20" ht="14.25">
      <c r="B108" s="210"/>
      <c r="C108" s="210"/>
      <c r="D108" s="210"/>
      <c r="F108" s="210"/>
      <c r="G108" s="210"/>
      <c r="H108" s="210"/>
      <c r="J108" s="210"/>
      <c r="K108" s="210"/>
      <c r="L108" s="210"/>
      <c r="N108" s="210"/>
      <c r="O108" s="210"/>
      <c r="P108" s="210"/>
      <c r="R108" s="210"/>
      <c r="S108" s="210"/>
      <c r="T108" s="210"/>
    </row>
    <row r="109" spans="2:20" ht="14.25">
      <c r="B109" s="210"/>
      <c r="C109" s="210"/>
      <c r="D109" s="210"/>
      <c r="F109" s="210"/>
      <c r="G109" s="210"/>
      <c r="H109" s="210"/>
      <c r="J109" s="210"/>
      <c r="K109" s="210"/>
      <c r="L109" s="210"/>
      <c r="N109" s="210"/>
      <c r="O109" s="210"/>
      <c r="P109" s="210"/>
      <c r="R109" s="210"/>
      <c r="S109" s="210"/>
      <c r="T109" s="210"/>
    </row>
    <row r="110" spans="2:20" ht="14.25">
      <c r="B110" s="210"/>
      <c r="C110" s="210"/>
      <c r="D110" s="210"/>
      <c r="F110" s="210"/>
      <c r="G110" s="210"/>
      <c r="H110" s="210"/>
      <c r="J110" s="210"/>
      <c r="K110" s="210"/>
      <c r="L110" s="210"/>
      <c r="N110" s="210"/>
      <c r="O110" s="210"/>
      <c r="P110" s="210"/>
      <c r="R110" s="210"/>
      <c r="S110" s="210"/>
      <c r="T110" s="210"/>
    </row>
    <row r="111" spans="2:20" ht="14.25">
      <c r="B111" s="210"/>
      <c r="C111" s="210"/>
      <c r="D111" s="210"/>
      <c r="F111" s="210"/>
      <c r="G111" s="210"/>
      <c r="H111" s="210"/>
      <c r="J111" s="210"/>
      <c r="K111" s="210"/>
      <c r="L111" s="210"/>
      <c r="N111" s="210"/>
      <c r="O111" s="210"/>
      <c r="P111" s="210"/>
      <c r="R111" s="210"/>
      <c r="S111" s="210"/>
      <c r="T111" s="210"/>
    </row>
    <row r="112" spans="2:20" ht="14.25">
      <c r="B112" s="210"/>
      <c r="C112" s="210"/>
      <c r="D112" s="210"/>
      <c r="F112" s="210"/>
      <c r="G112" s="210"/>
      <c r="H112" s="210"/>
      <c r="J112" s="210"/>
      <c r="K112" s="210"/>
      <c r="L112" s="210"/>
      <c r="N112" s="210"/>
      <c r="O112" s="210"/>
      <c r="P112" s="210"/>
      <c r="R112" s="210"/>
      <c r="S112" s="210"/>
      <c r="T112" s="210"/>
    </row>
    <row r="113" spans="2:20" ht="14.25">
      <c r="B113" s="210"/>
      <c r="C113" s="210"/>
      <c r="D113" s="210"/>
      <c r="F113" s="210"/>
      <c r="G113" s="210"/>
      <c r="H113" s="210"/>
      <c r="J113" s="210"/>
      <c r="K113" s="210"/>
      <c r="L113" s="210"/>
      <c r="N113" s="210"/>
      <c r="O113" s="210"/>
      <c r="P113" s="210"/>
      <c r="R113" s="210"/>
      <c r="S113" s="210"/>
      <c r="T113" s="210"/>
    </row>
    <row r="114" spans="2:20" ht="14.25">
      <c r="B114" s="210"/>
      <c r="C114" s="210"/>
      <c r="D114" s="210"/>
      <c r="F114" s="210"/>
      <c r="G114" s="210"/>
      <c r="H114" s="210"/>
      <c r="J114" s="210"/>
      <c r="K114" s="210"/>
      <c r="L114" s="210"/>
      <c r="N114" s="210"/>
      <c r="O114" s="210"/>
      <c r="P114" s="210"/>
      <c r="R114" s="210"/>
      <c r="S114" s="210"/>
      <c r="T114" s="210"/>
    </row>
    <row r="115" spans="2:20" ht="14.25">
      <c r="B115" s="210"/>
      <c r="C115" s="210"/>
      <c r="D115" s="210"/>
      <c r="F115" s="210"/>
      <c r="G115" s="210"/>
      <c r="H115" s="210"/>
      <c r="J115" s="210"/>
      <c r="K115" s="210"/>
      <c r="L115" s="210"/>
      <c r="N115" s="210"/>
      <c r="O115" s="210"/>
      <c r="P115" s="210"/>
      <c r="R115" s="210"/>
      <c r="S115" s="210"/>
      <c r="T115" s="210"/>
    </row>
    <row r="116" spans="2:20" ht="14.25">
      <c r="B116" s="210"/>
      <c r="C116" s="210"/>
      <c r="D116" s="210"/>
      <c r="F116" s="210"/>
      <c r="G116" s="210"/>
      <c r="H116" s="210"/>
      <c r="J116" s="210"/>
      <c r="K116" s="210"/>
      <c r="L116" s="210"/>
      <c r="N116" s="210"/>
      <c r="O116" s="210"/>
      <c r="P116" s="210"/>
      <c r="R116" s="210"/>
      <c r="S116" s="210"/>
      <c r="T116" s="210"/>
    </row>
    <row r="117" spans="2:20" ht="14.25">
      <c r="B117" s="210"/>
      <c r="C117" s="210"/>
      <c r="D117" s="210"/>
      <c r="F117" s="210"/>
      <c r="G117" s="210"/>
      <c r="H117" s="210"/>
      <c r="J117" s="210"/>
      <c r="K117" s="210"/>
      <c r="L117" s="210"/>
      <c r="N117" s="210"/>
      <c r="O117" s="210"/>
      <c r="P117" s="210"/>
      <c r="R117" s="210"/>
      <c r="S117" s="210"/>
      <c r="T117" s="210"/>
    </row>
    <row r="118" spans="2:20" ht="14.25">
      <c r="B118" s="210"/>
      <c r="C118" s="210"/>
      <c r="D118" s="210"/>
      <c r="F118" s="210"/>
      <c r="G118" s="210"/>
      <c r="H118" s="210"/>
      <c r="J118" s="210"/>
      <c r="K118" s="210"/>
      <c r="L118" s="210"/>
      <c r="N118" s="210"/>
      <c r="O118" s="210"/>
      <c r="P118" s="210"/>
      <c r="R118" s="210"/>
      <c r="S118" s="210"/>
      <c r="T118" s="210"/>
    </row>
    <row r="119" spans="2:20" ht="14.25">
      <c r="B119" s="210"/>
      <c r="C119" s="210"/>
      <c r="D119" s="210"/>
      <c r="F119" s="210"/>
      <c r="G119" s="210"/>
      <c r="H119" s="210"/>
      <c r="J119" s="210"/>
      <c r="K119" s="210"/>
      <c r="L119" s="210"/>
      <c r="N119" s="210"/>
      <c r="O119" s="210"/>
      <c r="P119" s="210"/>
      <c r="R119" s="210"/>
      <c r="S119" s="210"/>
      <c r="T119" s="210"/>
    </row>
    <row r="120" spans="2:20" ht="14.25">
      <c r="B120" s="210"/>
      <c r="C120" s="210"/>
      <c r="D120" s="210"/>
      <c r="F120" s="210"/>
      <c r="G120" s="210"/>
      <c r="H120" s="210"/>
      <c r="J120" s="210"/>
      <c r="K120" s="210"/>
      <c r="L120" s="210"/>
      <c r="N120" s="210"/>
      <c r="O120" s="210"/>
      <c r="P120" s="210"/>
      <c r="R120" s="210"/>
      <c r="S120" s="210"/>
      <c r="T120" s="210"/>
    </row>
    <row r="121" spans="2:20" ht="14.25">
      <c r="B121" s="210"/>
      <c r="C121" s="210"/>
      <c r="D121" s="210"/>
      <c r="F121" s="210"/>
      <c r="G121" s="210"/>
      <c r="H121" s="210"/>
      <c r="J121" s="210"/>
      <c r="K121" s="210"/>
      <c r="L121" s="210"/>
      <c r="N121" s="210"/>
      <c r="O121" s="210"/>
      <c r="P121" s="210"/>
      <c r="R121" s="210"/>
      <c r="S121" s="210"/>
      <c r="T121" s="210"/>
    </row>
    <row r="122" spans="2:20" ht="14.25">
      <c r="B122" s="210"/>
      <c r="C122" s="210"/>
      <c r="D122" s="210"/>
      <c r="F122" s="210"/>
      <c r="G122" s="210"/>
      <c r="H122" s="210"/>
      <c r="J122" s="210"/>
      <c r="K122" s="210"/>
      <c r="L122" s="210"/>
      <c r="N122" s="210"/>
      <c r="O122" s="210"/>
      <c r="P122" s="210"/>
      <c r="R122" s="210"/>
      <c r="S122" s="210"/>
      <c r="T122" s="210"/>
    </row>
    <row r="123" spans="2:20" ht="14.25">
      <c r="B123" s="210"/>
      <c r="C123" s="210"/>
      <c r="D123" s="210"/>
      <c r="F123" s="210"/>
      <c r="G123" s="210"/>
      <c r="H123" s="210"/>
      <c r="J123" s="210"/>
      <c r="K123" s="210"/>
      <c r="L123" s="210"/>
      <c r="N123" s="210"/>
      <c r="O123" s="210"/>
      <c r="P123" s="210"/>
      <c r="R123" s="210"/>
      <c r="S123" s="210"/>
      <c r="T123" s="210"/>
    </row>
    <row r="124" spans="2:20" ht="14.25">
      <c r="B124" s="210"/>
      <c r="C124" s="210"/>
      <c r="D124" s="210"/>
      <c r="F124" s="210"/>
      <c r="G124" s="210"/>
      <c r="H124" s="210"/>
      <c r="J124" s="210"/>
      <c r="K124" s="210"/>
      <c r="L124" s="210"/>
      <c r="N124" s="210"/>
      <c r="O124" s="210"/>
      <c r="P124" s="210"/>
      <c r="R124" s="210"/>
      <c r="S124" s="210"/>
      <c r="T124" s="210"/>
    </row>
    <row r="125" spans="2:20" ht="14.25">
      <c r="B125" s="210"/>
      <c r="C125" s="210"/>
      <c r="D125" s="210"/>
      <c r="F125" s="210"/>
      <c r="G125" s="210"/>
      <c r="H125" s="210"/>
      <c r="J125" s="210"/>
      <c r="K125" s="210"/>
      <c r="L125" s="210"/>
      <c r="N125" s="210"/>
      <c r="O125" s="210"/>
      <c r="P125" s="210"/>
      <c r="R125" s="210"/>
      <c r="S125" s="210"/>
      <c r="T125" s="210"/>
    </row>
    <row r="126" spans="2:20" ht="14.25">
      <c r="B126" s="210"/>
      <c r="C126" s="210"/>
      <c r="D126" s="210"/>
      <c r="F126" s="210"/>
      <c r="G126" s="210"/>
      <c r="H126" s="210"/>
      <c r="J126" s="210"/>
      <c r="K126" s="210"/>
      <c r="L126" s="210"/>
      <c r="N126" s="210"/>
      <c r="O126" s="210"/>
      <c r="P126" s="210"/>
      <c r="R126" s="210"/>
      <c r="S126" s="210"/>
      <c r="T126" s="210"/>
    </row>
    <row r="127" spans="2:20" ht="14.25">
      <c r="B127" s="210"/>
      <c r="C127" s="210"/>
      <c r="D127" s="210"/>
      <c r="F127" s="210"/>
      <c r="G127" s="210"/>
      <c r="H127" s="210"/>
      <c r="J127" s="210"/>
      <c r="K127" s="210"/>
      <c r="L127" s="210"/>
      <c r="N127" s="210"/>
      <c r="O127" s="210"/>
      <c r="P127" s="210"/>
      <c r="R127" s="210"/>
      <c r="S127" s="210"/>
      <c r="T127" s="210"/>
    </row>
    <row r="128" spans="2:20" ht="14.25">
      <c r="B128" s="210"/>
      <c r="C128" s="210"/>
      <c r="D128" s="210"/>
      <c r="F128" s="210"/>
      <c r="G128" s="210"/>
      <c r="H128" s="210"/>
      <c r="J128" s="210"/>
      <c r="K128" s="210"/>
      <c r="L128" s="210"/>
      <c r="N128" s="210"/>
      <c r="O128" s="210"/>
      <c r="P128" s="210"/>
      <c r="R128" s="210"/>
      <c r="S128" s="210"/>
      <c r="T128" s="210"/>
    </row>
    <row r="129" spans="2:20" ht="14.25">
      <c r="B129" s="210"/>
      <c r="C129" s="210"/>
      <c r="D129" s="210"/>
      <c r="F129" s="210"/>
      <c r="G129" s="210"/>
      <c r="H129" s="210"/>
      <c r="J129" s="210"/>
      <c r="K129" s="210"/>
      <c r="L129" s="210"/>
      <c r="N129" s="210"/>
      <c r="O129" s="210"/>
      <c r="P129" s="210"/>
      <c r="R129" s="210"/>
      <c r="S129" s="210"/>
      <c r="T129" s="210"/>
    </row>
    <row r="130" spans="2:20" ht="14.25">
      <c r="B130" s="210"/>
      <c r="C130" s="210"/>
      <c r="D130" s="210"/>
      <c r="F130" s="210"/>
      <c r="G130" s="210"/>
      <c r="H130" s="210"/>
      <c r="J130" s="210"/>
      <c r="K130" s="210"/>
      <c r="L130" s="210"/>
      <c r="N130" s="210"/>
      <c r="O130" s="210"/>
      <c r="P130" s="210"/>
      <c r="R130" s="210"/>
      <c r="S130" s="210"/>
      <c r="T130" s="210"/>
    </row>
    <row r="131" spans="2:20" ht="14.25">
      <c r="B131" s="210"/>
      <c r="C131" s="210"/>
      <c r="D131" s="210"/>
      <c r="F131" s="210"/>
      <c r="G131" s="210"/>
      <c r="H131" s="210"/>
      <c r="J131" s="210"/>
      <c r="K131" s="210"/>
      <c r="L131" s="210"/>
      <c r="N131" s="210"/>
      <c r="O131" s="210"/>
      <c r="P131" s="210"/>
      <c r="R131" s="210"/>
      <c r="S131" s="210"/>
      <c r="T131" s="210"/>
    </row>
    <row r="132" spans="2:20" ht="14.25">
      <c r="B132" s="210"/>
      <c r="C132" s="210"/>
      <c r="D132" s="210"/>
      <c r="F132" s="210"/>
      <c r="G132" s="210"/>
      <c r="H132" s="210"/>
      <c r="J132" s="210"/>
      <c r="K132" s="210"/>
      <c r="L132" s="210"/>
      <c r="N132" s="210"/>
      <c r="O132" s="210"/>
      <c r="P132" s="210"/>
      <c r="R132" s="210"/>
      <c r="S132" s="210"/>
      <c r="T132" s="210"/>
    </row>
    <row r="133" spans="2:20" ht="14.25">
      <c r="B133" s="210"/>
      <c r="C133" s="210"/>
      <c r="D133" s="210"/>
      <c r="F133" s="210"/>
      <c r="G133" s="210"/>
      <c r="H133" s="210"/>
      <c r="J133" s="210"/>
      <c r="K133" s="210"/>
      <c r="L133" s="210"/>
      <c r="N133" s="210"/>
      <c r="O133" s="210"/>
      <c r="P133" s="210"/>
      <c r="R133" s="210"/>
      <c r="S133" s="210"/>
      <c r="T133" s="210"/>
    </row>
    <row r="134" spans="2:20" ht="14.25">
      <c r="B134" s="210"/>
      <c r="C134" s="210"/>
      <c r="D134" s="210"/>
      <c r="F134" s="210"/>
      <c r="G134" s="210"/>
      <c r="H134" s="210"/>
      <c r="J134" s="210"/>
      <c r="K134" s="210"/>
      <c r="L134" s="210"/>
      <c r="N134" s="210"/>
      <c r="O134" s="210"/>
      <c r="P134" s="210"/>
      <c r="R134" s="210"/>
      <c r="S134" s="210"/>
      <c r="T134" s="210"/>
    </row>
    <row r="135" spans="2:20" ht="14.25">
      <c r="B135" s="210"/>
      <c r="C135" s="210"/>
      <c r="D135" s="210"/>
      <c r="F135" s="210"/>
      <c r="G135" s="210"/>
      <c r="H135" s="210"/>
      <c r="J135" s="210"/>
      <c r="K135" s="210"/>
      <c r="L135" s="210"/>
      <c r="N135" s="210"/>
      <c r="O135" s="210"/>
      <c r="P135" s="210"/>
      <c r="R135" s="210"/>
      <c r="S135" s="210"/>
      <c r="T135" s="210"/>
    </row>
    <row r="136" spans="2:20" ht="14.25">
      <c r="B136" s="210"/>
      <c r="C136" s="210"/>
      <c r="D136" s="210"/>
      <c r="F136" s="210"/>
      <c r="G136" s="210"/>
      <c r="H136" s="210"/>
      <c r="J136" s="210"/>
      <c r="K136" s="210"/>
      <c r="L136" s="210"/>
      <c r="N136" s="210"/>
      <c r="O136" s="210"/>
      <c r="P136" s="210"/>
      <c r="R136" s="210"/>
      <c r="S136" s="210"/>
      <c r="T136" s="210"/>
    </row>
    <row r="137" spans="2:20" ht="14.25">
      <c r="B137" s="210"/>
      <c r="C137" s="210"/>
      <c r="D137" s="210"/>
      <c r="F137" s="210"/>
      <c r="G137" s="210"/>
      <c r="H137" s="210"/>
      <c r="J137" s="210"/>
      <c r="K137" s="210"/>
      <c r="L137" s="210"/>
      <c r="N137" s="210"/>
      <c r="O137" s="210"/>
      <c r="P137" s="210"/>
      <c r="R137" s="210"/>
      <c r="S137" s="210"/>
      <c r="T137" s="210"/>
    </row>
    <row r="138" spans="2:20" ht="14.25">
      <c r="B138" s="210"/>
      <c r="C138" s="210"/>
      <c r="D138" s="210"/>
      <c r="F138" s="210"/>
      <c r="G138" s="210"/>
      <c r="H138" s="210"/>
      <c r="J138" s="210"/>
      <c r="K138" s="210"/>
      <c r="L138" s="210"/>
      <c r="N138" s="210"/>
      <c r="O138" s="210"/>
      <c r="P138" s="210"/>
      <c r="R138" s="210"/>
      <c r="S138" s="210"/>
      <c r="T138" s="210"/>
    </row>
    <row r="139" spans="2:20" ht="14.25">
      <c r="B139" s="210"/>
      <c r="C139" s="210"/>
      <c r="D139" s="210"/>
      <c r="F139" s="210"/>
      <c r="G139" s="210"/>
      <c r="H139" s="210"/>
      <c r="J139" s="210"/>
      <c r="K139" s="210"/>
      <c r="L139" s="210"/>
      <c r="N139" s="210"/>
      <c r="O139" s="210"/>
      <c r="P139" s="210"/>
      <c r="R139" s="210"/>
      <c r="S139" s="210"/>
      <c r="T139" s="210"/>
    </row>
    <row r="140" spans="2:20" ht="14.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fitToHeight="0" fitToWidth="1" horizontalDpi="600" verticalDpi="600" orientation="landscape" scale="34" r:id="rId1"/>
</worksheet>
</file>

<file path=xl/worksheets/sheet4.xml><?xml version="1.0" encoding="utf-8"?>
<worksheet xmlns="http://schemas.openxmlformats.org/spreadsheetml/2006/main" xmlns:r="http://schemas.openxmlformats.org/officeDocument/2006/relationships">
  <sheetPr>
    <tabColor theme="3"/>
  </sheetPr>
  <dimension ref="A2:U165"/>
  <sheetViews>
    <sheetView zoomScalePageLayoutView="0" workbookViewId="0" topLeftCell="A16">
      <selection activeCell="G16" sqref="G16"/>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6" t="s">
        <v>116</v>
      </c>
      <c r="E2" s="634"/>
      <c r="F2" s="634"/>
      <c r="G2" s="634"/>
      <c r="H2" s="634"/>
      <c r="I2" s="634"/>
      <c r="J2" s="634"/>
      <c r="K2" s="634"/>
      <c r="L2" s="634"/>
      <c r="M2" s="634"/>
      <c r="N2" s="634"/>
      <c r="O2" s="634"/>
      <c r="P2" s="634"/>
      <c r="Q2" s="634"/>
      <c r="R2" s="634"/>
      <c r="S2" s="634"/>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Gary Middle College</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2021-2022</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8" t="s">
        <v>120</v>
      </c>
      <c r="E7" s="629"/>
      <c r="F7" s="629"/>
      <c r="G7" s="629"/>
      <c r="H7" s="629"/>
      <c r="I7" s="629"/>
      <c r="J7" s="629"/>
      <c r="K7" s="629"/>
      <c r="L7" s="629"/>
      <c r="M7" s="629"/>
      <c r="N7" s="629"/>
      <c r="O7" s="629"/>
      <c r="P7" s="629"/>
      <c r="Q7" s="629"/>
      <c r="R7" s="629"/>
      <c r="S7" s="629"/>
      <c r="T7" s="120"/>
      <c r="U7" s="388"/>
    </row>
    <row r="8" spans="2:21" s="372" customFormat="1" ht="46.5" customHeight="1">
      <c r="B8" s="382"/>
      <c r="C8" s="383"/>
      <c r="D8" s="624" t="s">
        <v>124</v>
      </c>
      <c r="E8" s="625"/>
      <c r="F8" s="625"/>
      <c r="G8" s="625"/>
      <c r="H8" s="625"/>
      <c r="I8" s="625"/>
      <c r="J8" s="625"/>
      <c r="K8" s="625"/>
      <c r="L8" s="625"/>
      <c r="M8" s="625"/>
      <c r="N8" s="625"/>
      <c r="O8" s="625"/>
      <c r="P8" s="626"/>
      <c r="Q8" s="626"/>
      <c r="R8" s="626"/>
      <c r="S8" s="627"/>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30" t="s">
        <v>574</v>
      </c>
      <c r="E10" s="631"/>
      <c r="F10" s="631"/>
      <c r="G10" s="631"/>
      <c r="H10" s="631"/>
      <c r="I10" s="631"/>
      <c r="J10" s="631"/>
      <c r="K10" s="631"/>
      <c r="L10" s="631"/>
      <c r="M10" s="631"/>
      <c r="N10" s="631"/>
      <c r="O10" s="631"/>
      <c r="P10" s="632"/>
      <c r="Q10" s="632"/>
      <c r="R10" s="632"/>
      <c r="S10" s="633"/>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17"/>
      <c r="E12" s="617"/>
      <c r="F12" s="520"/>
      <c r="G12" s="34"/>
      <c r="H12" s="34"/>
      <c r="I12" s="34"/>
      <c r="J12" s="34"/>
      <c r="K12" s="34"/>
      <c r="L12" s="34"/>
      <c r="M12" s="34"/>
      <c r="N12" s="34"/>
      <c r="O12" s="34"/>
      <c r="P12" s="34"/>
      <c r="Q12" s="34"/>
      <c r="R12" s="34"/>
      <c r="S12" s="34"/>
      <c r="T12" s="28"/>
      <c r="U12" s="35"/>
    </row>
    <row r="13" spans="2:21" s="123" customFormat="1" ht="15" customHeight="1">
      <c r="B13" s="33"/>
      <c r="C13" s="10"/>
      <c r="D13" s="618" t="s">
        <v>571</v>
      </c>
      <c r="E13" s="619"/>
      <c r="F13" s="521"/>
      <c r="G13" s="622" t="s">
        <v>64</v>
      </c>
      <c r="H13" s="609" t="s">
        <v>65</v>
      </c>
      <c r="I13" s="609" t="s">
        <v>66</v>
      </c>
      <c r="J13" s="609" t="s">
        <v>67</v>
      </c>
      <c r="K13" s="609" t="s">
        <v>68</v>
      </c>
      <c r="L13" s="635" t="s">
        <v>69</v>
      </c>
      <c r="M13" s="637" t="s">
        <v>70</v>
      </c>
      <c r="N13" s="609" t="s">
        <v>71</v>
      </c>
      <c r="O13" s="609" t="s">
        <v>72</v>
      </c>
      <c r="P13" s="609" t="s">
        <v>73</v>
      </c>
      <c r="Q13" s="609" t="s">
        <v>74</v>
      </c>
      <c r="R13" s="609" t="s">
        <v>63</v>
      </c>
      <c r="S13" s="611" t="s">
        <v>119</v>
      </c>
      <c r="T13" s="20"/>
      <c r="U13" s="35"/>
    </row>
    <row r="14" spans="2:21" s="123" customFormat="1" ht="15" customHeight="1">
      <c r="B14" s="33"/>
      <c r="C14" s="10"/>
      <c r="D14" s="620"/>
      <c r="E14" s="621"/>
      <c r="F14" s="294"/>
      <c r="G14" s="623"/>
      <c r="H14" s="610"/>
      <c r="I14" s="610"/>
      <c r="J14" s="610"/>
      <c r="K14" s="610"/>
      <c r="L14" s="636"/>
      <c r="M14" s="638"/>
      <c r="N14" s="610"/>
      <c r="O14" s="610"/>
      <c r="P14" s="610"/>
      <c r="Q14" s="610"/>
      <c r="R14" s="610"/>
      <c r="S14" s="612"/>
      <c r="T14" s="20"/>
      <c r="U14" s="35"/>
    </row>
    <row r="15" spans="2:21" s="123" customFormat="1" ht="15" customHeight="1">
      <c r="B15" s="33"/>
      <c r="C15" s="7"/>
      <c r="D15" s="615" t="s">
        <v>558</v>
      </c>
      <c r="E15" s="616"/>
      <c r="F15" s="463"/>
      <c r="G15" s="54"/>
      <c r="H15" s="54"/>
      <c r="I15" s="54"/>
      <c r="J15" s="54"/>
      <c r="K15" s="54"/>
      <c r="L15" s="54"/>
      <c r="M15" s="54"/>
      <c r="N15" s="54"/>
      <c r="O15" s="54"/>
      <c r="P15" s="54"/>
      <c r="Q15" s="54"/>
      <c r="R15" s="54"/>
      <c r="S15" s="30"/>
      <c r="T15" s="38"/>
      <c r="U15" s="35"/>
    </row>
    <row r="16" spans="2:21" ht="15" customHeight="1">
      <c r="B16" s="25"/>
      <c r="C16" s="7"/>
      <c r="D16" s="613" t="s">
        <v>576</v>
      </c>
      <c r="E16" s="614"/>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13" t="s">
        <v>581</v>
      </c>
      <c r="E17" s="614"/>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595"/>
      <c r="E18" s="596"/>
      <c r="F18" s="120"/>
      <c r="G18" s="30"/>
      <c r="H18" s="30"/>
      <c r="I18" s="30"/>
      <c r="J18" s="30"/>
      <c r="K18" s="30"/>
      <c r="L18" s="30"/>
      <c r="M18" s="30"/>
      <c r="N18" s="30"/>
      <c r="O18" s="30"/>
      <c r="P18" s="30"/>
      <c r="Q18" s="30"/>
      <c r="R18" s="30"/>
      <c r="S18" s="519"/>
      <c r="T18" s="19"/>
      <c r="U18" s="26"/>
    </row>
    <row r="19" spans="2:21" ht="15" customHeight="1">
      <c r="B19" s="25"/>
      <c r="C19" s="7"/>
      <c r="D19" s="597" t="s">
        <v>560</v>
      </c>
      <c r="E19" s="598"/>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595"/>
      <c r="E20" s="596"/>
      <c r="F20" s="498"/>
      <c r="G20" s="46"/>
      <c r="H20" s="46"/>
      <c r="I20" s="46"/>
      <c r="J20" s="46"/>
      <c r="K20" s="46"/>
      <c r="L20" s="46"/>
      <c r="M20" s="46"/>
      <c r="N20" s="46"/>
      <c r="O20" s="46"/>
      <c r="P20" s="46"/>
      <c r="Q20" s="46"/>
      <c r="R20" s="46"/>
      <c r="S20" s="31"/>
      <c r="T20" s="38"/>
      <c r="U20" s="26"/>
    </row>
    <row r="21" spans="2:21" ht="15" customHeight="1">
      <c r="B21" s="25"/>
      <c r="C21" s="7"/>
      <c r="D21" s="599" t="s">
        <v>559</v>
      </c>
      <c r="E21" s="600"/>
      <c r="F21" s="516"/>
      <c r="G21" s="36"/>
      <c r="H21" s="36"/>
      <c r="I21" s="36"/>
      <c r="J21" s="36"/>
      <c r="K21" s="36"/>
      <c r="L21" s="36"/>
      <c r="M21" s="36"/>
      <c r="N21" s="36"/>
      <c r="O21" s="36"/>
      <c r="P21" s="36"/>
      <c r="Q21" s="36"/>
      <c r="R21" s="36"/>
      <c r="S21" s="53"/>
      <c r="T21" s="38"/>
      <c r="U21" s="26"/>
    </row>
    <row r="22" spans="2:21" ht="15" customHeight="1">
      <c r="B22" s="25"/>
      <c r="C22" s="7"/>
      <c r="D22" s="595" t="s">
        <v>23</v>
      </c>
      <c r="E22" s="596"/>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c r="B23" s="25"/>
      <c r="C23" s="7"/>
      <c r="D23" s="595" t="s">
        <v>19</v>
      </c>
      <c r="E23" s="596"/>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595" t="s">
        <v>580</v>
      </c>
      <c r="E24" s="596"/>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595"/>
      <c r="E25" s="596"/>
      <c r="F25" s="496"/>
      <c r="G25" s="30"/>
      <c r="H25" s="30"/>
      <c r="I25" s="30"/>
      <c r="J25" s="30"/>
      <c r="K25" s="30"/>
      <c r="L25" s="30"/>
      <c r="M25" s="30"/>
      <c r="N25" s="30"/>
      <c r="O25" s="30"/>
      <c r="P25" s="30"/>
      <c r="Q25" s="30"/>
      <c r="R25" s="30"/>
      <c r="S25" s="30"/>
      <c r="T25" s="38"/>
      <c r="U25" s="26"/>
    </row>
    <row r="26" spans="2:21" ht="15" customHeight="1">
      <c r="B26" s="25"/>
      <c r="C26" s="7"/>
      <c r="D26" s="597" t="s">
        <v>561</v>
      </c>
      <c r="E26" s="598"/>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0</v>
      </c>
      <c r="T26" s="38"/>
      <c r="U26" s="26"/>
    </row>
    <row r="27" spans="2:21" ht="15" customHeight="1">
      <c r="B27" s="25"/>
      <c r="C27" s="7"/>
      <c r="D27" s="595"/>
      <c r="E27" s="596"/>
      <c r="F27" s="496"/>
      <c r="G27" s="30"/>
      <c r="H27" s="30"/>
      <c r="I27" s="30"/>
      <c r="J27" s="30"/>
      <c r="K27" s="30"/>
      <c r="L27" s="30"/>
      <c r="M27" s="30"/>
      <c r="N27" s="30"/>
      <c r="O27" s="30"/>
      <c r="P27" s="30"/>
      <c r="Q27" s="30"/>
      <c r="R27" s="30"/>
      <c r="S27" s="519"/>
      <c r="T27" s="19"/>
      <c r="U27" s="26"/>
    </row>
    <row r="28" spans="2:21" ht="15" customHeight="1">
      <c r="B28" s="25"/>
      <c r="C28" s="7"/>
      <c r="D28" s="601" t="s">
        <v>562</v>
      </c>
      <c r="E28" s="602"/>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03" t="s">
        <v>26</v>
      </c>
      <c r="E30" s="604"/>
      <c r="F30" s="120"/>
      <c r="G30" s="50"/>
      <c r="H30" s="50"/>
      <c r="I30" s="50"/>
      <c r="J30" s="50"/>
      <c r="K30" s="50"/>
      <c r="L30" s="50"/>
      <c r="M30" s="50"/>
      <c r="N30" s="50"/>
      <c r="O30" s="50"/>
      <c r="P30" s="50"/>
      <c r="Q30" s="50"/>
      <c r="R30" s="50"/>
      <c r="S30" s="86"/>
      <c r="T30" s="38"/>
      <c r="U30" s="26"/>
    </row>
    <row r="31" spans="2:21" ht="15" customHeight="1">
      <c r="B31" s="25"/>
      <c r="C31" s="10"/>
      <c r="D31" s="605"/>
      <c r="E31" s="606"/>
      <c r="F31" s="517"/>
      <c r="G31" s="50"/>
      <c r="H31" s="50"/>
      <c r="I31" s="50"/>
      <c r="J31" s="50"/>
      <c r="K31" s="50"/>
      <c r="L31" s="50"/>
      <c r="M31" s="50"/>
      <c r="N31" s="50"/>
      <c r="O31" s="50"/>
      <c r="P31" s="50"/>
      <c r="Q31" s="50"/>
      <c r="R31" s="50"/>
      <c r="S31" s="86"/>
      <c r="T31" s="38"/>
      <c r="U31" s="26"/>
    </row>
    <row r="32" spans="2:21" ht="15" customHeight="1">
      <c r="B32" s="25"/>
      <c r="C32" s="7"/>
      <c r="D32" s="607" t="s">
        <v>14</v>
      </c>
      <c r="E32" s="608"/>
      <c r="F32" s="120"/>
      <c r="G32" s="36"/>
      <c r="H32" s="36"/>
      <c r="I32" s="36"/>
      <c r="J32" s="36"/>
      <c r="K32" s="36"/>
      <c r="L32" s="36"/>
      <c r="M32" s="36"/>
      <c r="N32" s="36"/>
      <c r="O32" s="36"/>
      <c r="P32" s="36"/>
      <c r="Q32" s="36"/>
      <c r="R32" s="36"/>
      <c r="S32" s="53"/>
      <c r="T32" s="38"/>
      <c r="U32" s="26"/>
    </row>
    <row r="33" spans="2:21" ht="15" customHeight="1">
      <c r="B33" s="25"/>
      <c r="C33" s="7"/>
      <c r="D33" s="595" t="s">
        <v>572</v>
      </c>
      <c r="E33" s="596"/>
      <c r="F33" s="385"/>
      <c r="G33" s="39">
        <v>0</v>
      </c>
      <c r="H33" s="39">
        <v>0</v>
      </c>
      <c r="I33" s="39">
        <v>0</v>
      </c>
      <c r="J33" s="39">
        <v>0</v>
      </c>
      <c r="K33" s="39">
        <v>0</v>
      </c>
      <c r="L33" s="40">
        <v>0</v>
      </c>
      <c r="M33" s="41">
        <v>0</v>
      </c>
      <c r="N33" s="39">
        <v>0</v>
      </c>
      <c r="O33" s="39">
        <v>0</v>
      </c>
      <c r="P33" s="39">
        <v>0</v>
      </c>
      <c r="Q33" s="39">
        <v>0</v>
      </c>
      <c r="R33" s="39">
        <v>0</v>
      </c>
      <c r="S33" s="42">
        <f>SUM(G33:R33)</f>
        <v>0</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7" t="s">
        <v>39</v>
      </c>
      <c r="E35" s="598"/>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599" t="s">
        <v>118</v>
      </c>
      <c r="E37" s="600"/>
      <c r="F37" s="120"/>
      <c r="G37" s="36"/>
      <c r="H37" s="36"/>
      <c r="I37" s="36"/>
      <c r="J37" s="36"/>
      <c r="K37" s="36"/>
      <c r="L37" s="36"/>
      <c r="M37" s="36"/>
      <c r="N37" s="36"/>
      <c r="O37" s="36"/>
      <c r="P37" s="36"/>
      <c r="Q37" s="36"/>
      <c r="R37" s="36"/>
      <c r="S37" s="53"/>
      <c r="T37" s="38"/>
      <c r="U37" s="26"/>
    </row>
    <row r="38" spans="2:21" ht="15" customHeight="1">
      <c r="B38" s="25"/>
      <c r="C38" s="7"/>
      <c r="D38" s="595" t="s">
        <v>3</v>
      </c>
      <c r="E38" s="596"/>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595" t="s">
        <v>40</v>
      </c>
      <c r="E39" s="596"/>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595" t="s">
        <v>507</v>
      </c>
      <c r="E40" s="596"/>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595" t="s">
        <v>41</v>
      </c>
      <c r="E41" s="596"/>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595" t="s">
        <v>42</v>
      </c>
      <c r="E42" s="596"/>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595" t="s">
        <v>13</v>
      </c>
      <c r="E43" s="596"/>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595" t="s">
        <v>508</v>
      </c>
      <c r="E44" s="596"/>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595" t="s">
        <v>509</v>
      </c>
      <c r="E45" s="596"/>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7" t="s">
        <v>43</v>
      </c>
      <c r="E47" s="598"/>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599" t="s">
        <v>510</v>
      </c>
      <c r="E49" s="600"/>
      <c r="F49" s="120"/>
      <c r="G49" s="36"/>
      <c r="H49" s="36"/>
      <c r="I49" s="36"/>
      <c r="J49" s="36"/>
      <c r="K49" s="36"/>
      <c r="L49" s="36"/>
      <c r="M49" s="36"/>
      <c r="N49" s="36"/>
      <c r="O49" s="36"/>
      <c r="P49" s="36"/>
      <c r="Q49" s="36"/>
      <c r="R49" s="36"/>
      <c r="S49" s="53"/>
      <c r="T49" s="38"/>
      <c r="U49" s="26"/>
    </row>
    <row r="50" spans="2:21" ht="15" customHeight="1">
      <c r="B50" s="25"/>
      <c r="C50" s="7"/>
      <c r="D50" s="595" t="s">
        <v>511</v>
      </c>
      <c r="E50" s="596"/>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c r="B51" s="25"/>
      <c r="C51" s="7"/>
      <c r="D51" s="595" t="s">
        <v>579</v>
      </c>
      <c r="E51" s="596"/>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7" t="s">
        <v>513</v>
      </c>
      <c r="E53" s="598"/>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599" t="s">
        <v>44</v>
      </c>
      <c r="E55" s="600"/>
      <c r="F55" s="120"/>
      <c r="G55" s="36"/>
      <c r="H55" s="36"/>
      <c r="I55" s="36"/>
      <c r="J55" s="36"/>
      <c r="K55" s="36"/>
      <c r="L55" s="36"/>
      <c r="M55" s="36"/>
      <c r="N55" s="36"/>
      <c r="O55" s="36"/>
      <c r="P55" s="36"/>
      <c r="Q55" s="36"/>
      <c r="R55" s="36"/>
      <c r="S55" s="53"/>
      <c r="T55" s="38"/>
      <c r="U55" s="26"/>
    </row>
    <row r="56" spans="2:21" ht="15" customHeight="1">
      <c r="B56" s="25"/>
      <c r="C56" s="7"/>
      <c r="D56" s="595" t="s">
        <v>4</v>
      </c>
      <c r="E56" s="596"/>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595" t="s">
        <v>578</v>
      </c>
      <c r="E57" s="596"/>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7" t="s">
        <v>573</v>
      </c>
      <c r="E59" s="598"/>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599" t="s">
        <v>534</v>
      </c>
      <c r="E61" s="600"/>
      <c r="F61" s="120"/>
      <c r="G61" s="36"/>
      <c r="H61" s="36"/>
      <c r="I61" s="36"/>
      <c r="J61" s="36"/>
      <c r="K61" s="36"/>
      <c r="L61" s="36"/>
      <c r="M61" s="36"/>
      <c r="N61" s="36"/>
      <c r="O61" s="36"/>
      <c r="P61" s="36"/>
      <c r="Q61" s="36"/>
      <c r="R61" s="36"/>
      <c r="S61" s="53"/>
      <c r="T61" s="38"/>
      <c r="U61" s="26"/>
    </row>
    <row r="62" spans="2:21" ht="15" customHeight="1">
      <c r="B62" s="25"/>
      <c r="C62" s="7"/>
      <c r="D62" s="595" t="s">
        <v>45</v>
      </c>
      <c r="E62" s="596"/>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595" t="s">
        <v>5</v>
      </c>
      <c r="E63" s="596"/>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595" t="s">
        <v>46</v>
      </c>
      <c r="E64" s="596"/>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595" t="s">
        <v>47</v>
      </c>
      <c r="E65" s="596"/>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595" t="s">
        <v>515</v>
      </c>
      <c r="E66" s="596"/>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595" t="s">
        <v>516</v>
      </c>
      <c r="E67" s="596"/>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595" t="s">
        <v>6</v>
      </c>
      <c r="E68" s="596"/>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595" t="s">
        <v>517</v>
      </c>
      <c r="E69" s="596"/>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595" t="s">
        <v>48</v>
      </c>
      <c r="E70" s="596"/>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595" t="s">
        <v>518</v>
      </c>
      <c r="E71" s="596"/>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595" t="s">
        <v>49</v>
      </c>
      <c r="E72" s="596"/>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595" t="s">
        <v>519</v>
      </c>
      <c r="E73" s="596"/>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595" t="s">
        <v>520</v>
      </c>
      <c r="E74" s="596"/>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595" t="s">
        <v>577</v>
      </c>
      <c r="E75" s="596"/>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7" t="s">
        <v>522</v>
      </c>
      <c r="E77" s="598"/>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599" t="s">
        <v>535</v>
      </c>
      <c r="E79" s="600"/>
      <c r="F79" s="120"/>
      <c r="G79" s="36"/>
      <c r="H79" s="36"/>
      <c r="I79" s="36"/>
      <c r="J79" s="36"/>
      <c r="K79" s="36"/>
      <c r="L79" s="36"/>
      <c r="M79" s="36"/>
      <c r="N79" s="36"/>
      <c r="O79" s="36"/>
      <c r="P79" s="36"/>
      <c r="Q79" s="36"/>
      <c r="R79" s="36"/>
      <c r="S79" s="53"/>
      <c r="T79" s="38"/>
      <c r="U79" s="26"/>
    </row>
    <row r="80" spans="2:21" ht="15" customHeight="1">
      <c r="B80" s="25"/>
      <c r="C80" s="7"/>
      <c r="D80" s="595" t="s">
        <v>524</v>
      </c>
      <c r="E80" s="596"/>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595" t="s">
        <v>523</v>
      </c>
      <c r="E81" s="596"/>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595" t="s">
        <v>531</v>
      </c>
      <c r="E89" s="596"/>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595" t="s">
        <v>50</v>
      </c>
      <c r="E90" s="596"/>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595" t="s">
        <v>532</v>
      </c>
      <c r="E91" s="596"/>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595" t="s">
        <v>533</v>
      </c>
      <c r="E92" s="596"/>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595" t="s">
        <v>51</v>
      </c>
      <c r="E93" s="596"/>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595" t="s">
        <v>536</v>
      </c>
      <c r="E94" s="596"/>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595" t="s">
        <v>537</v>
      </c>
      <c r="E95" s="596"/>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7" t="s">
        <v>52</v>
      </c>
      <c r="E97" s="598"/>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599" t="s">
        <v>117</v>
      </c>
      <c r="E99" s="600"/>
      <c r="F99" s="120"/>
      <c r="G99" s="36"/>
      <c r="H99" s="36"/>
      <c r="I99" s="36"/>
      <c r="J99" s="36"/>
      <c r="K99" s="36"/>
      <c r="L99" s="36"/>
      <c r="M99" s="36"/>
      <c r="N99" s="36"/>
      <c r="O99" s="36"/>
      <c r="P99" s="36"/>
      <c r="Q99" s="36"/>
      <c r="R99" s="36"/>
      <c r="S99" s="53"/>
      <c r="T99" s="38"/>
      <c r="U99" s="26"/>
    </row>
    <row r="100" spans="2:21" ht="15" customHeight="1">
      <c r="B100" s="25"/>
      <c r="C100" s="7"/>
      <c r="D100" s="639" t="s">
        <v>582</v>
      </c>
      <c r="E100" s="640"/>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595" t="s">
        <v>53</v>
      </c>
      <c r="E101" s="596"/>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39" t="s">
        <v>538</v>
      </c>
      <c r="E102" s="640"/>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7" t="s">
        <v>55</v>
      </c>
      <c r="E104" s="598"/>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595"/>
      <c r="E105" s="596"/>
      <c r="F105" s="120"/>
      <c r="G105" s="54"/>
      <c r="H105" s="54"/>
      <c r="I105" s="54"/>
      <c r="J105" s="54"/>
      <c r="K105" s="54"/>
      <c r="L105" s="54"/>
      <c r="M105" s="54"/>
      <c r="N105" s="54"/>
      <c r="O105" s="54"/>
      <c r="P105" s="54"/>
      <c r="Q105" s="54"/>
      <c r="R105" s="54"/>
      <c r="S105" s="30"/>
      <c r="T105" s="38"/>
      <c r="U105" s="26"/>
    </row>
    <row r="106" spans="2:21" ht="15" customHeight="1">
      <c r="B106" s="25"/>
      <c r="C106" s="7"/>
      <c r="D106" s="601" t="s">
        <v>56</v>
      </c>
      <c r="E106" s="602"/>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0</v>
      </c>
      <c r="T106" s="38"/>
      <c r="U106" s="26"/>
    </row>
    <row r="107" spans="2:21" ht="15" customHeight="1">
      <c r="B107" s="25"/>
      <c r="C107" s="7"/>
      <c r="D107" s="647"/>
      <c r="E107" s="648"/>
      <c r="F107" s="120"/>
      <c r="G107" s="51"/>
      <c r="H107" s="51"/>
      <c r="I107" s="51"/>
      <c r="J107" s="51"/>
      <c r="K107" s="51"/>
      <c r="L107" s="51"/>
      <c r="M107" s="51"/>
      <c r="N107" s="51"/>
      <c r="O107" s="51"/>
      <c r="P107" s="51"/>
      <c r="Q107" s="51"/>
      <c r="R107" s="51"/>
      <c r="S107" s="51"/>
      <c r="T107" s="38"/>
      <c r="U107" s="26"/>
    </row>
    <row r="108" spans="2:21" ht="15" customHeight="1" thickBot="1">
      <c r="B108" s="25"/>
      <c r="C108" s="7"/>
      <c r="D108" s="641" t="s">
        <v>570</v>
      </c>
      <c r="E108" s="642"/>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0</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43" t="s">
        <v>575</v>
      </c>
      <c r="E112" s="643"/>
      <c r="F112" s="643"/>
      <c r="G112" s="643"/>
      <c r="H112" s="643"/>
      <c r="I112" s="643"/>
      <c r="J112" s="643"/>
      <c r="K112" s="643"/>
      <c r="L112" s="643"/>
      <c r="M112" s="643"/>
      <c r="N112" s="643"/>
      <c r="O112" s="644"/>
      <c r="P112" s="55"/>
      <c r="Q112" s="55"/>
      <c r="R112" s="55"/>
      <c r="S112" s="55"/>
      <c r="T112" s="523"/>
      <c r="U112" s="26"/>
    </row>
    <row r="113" spans="1:21" ht="51" customHeight="1">
      <c r="A113" s="29"/>
      <c r="B113" s="25"/>
      <c r="C113" s="6"/>
      <c r="D113" s="645" t="s">
        <v>583</v>
      </c>
      <c r="E113" s="645"/>
      <c r="F113" s="645"/>
      <c r="G113" s="645"/>
      <c r="H113" s="645"/>
      <c r="I113" s="645"/>
      <c r="J113" s="645"/>
      <c r="K113" s="645"/>
      <c r="L113" s="645"/>
      <c r="M113" s="645"/>
      <c r="N113" s="645"/>
      <c r="O113" s="646"/>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4.25">
      <c r="F115" s="401"/>
    </row>
    <row r="116" ht="14.25">
      <c r="F116" s="539"/>
    </row>
    <row r="117" ht="14.25">
      <c r="F117" s="401"/>
    </row>
    <row r="118" ht="14.25">
      <c r="F118" s="401"/>
    </row>
    <row r="119" ht="14.25">
      <c r="F119" s="401"/>
    </row>
    <row r="120" ht="14.25">
      <c r="F120" s="401"/>
    </row>
    <row r="121" ht="14.25" thickBot="1">
      <c r="F121" s="401"/>
    </row>
    <row r="122" ht="14.25">
      <c r="F122" s="401"/>
    </row>
    <row r="123" ht="14.25">
      <c r="F123" s="401"/>
    </row>
    <row r="124" ht="14.25">
      <c r="F124" s="401"/>
    </row>
    <row r="125" ht="14.25">
      <c r="F125" s="401"/>
    </row>
    <row r="126" ht="14.25">
      <c r="F126" s="401"/>
    </row>
    <row r="127" ht="14.25">
      <c r="F127" s="401"/>
    </row>
    <row r="128" ht="14.25">
      <c r="F128" s="401"/>
    </row>
    <row r="129" ht="14.25">
      <c r="F129" s="401"/>
    </row>
    <row r="130" ht="14.25">
      <c r="F130" s="401"/>
    </row>
    <row r="131" ht="14.25">
      <c r="F131" s="401"/>
    </row>
    <row r="132" ht="14.25">
      <c r="F132" s="538"/>
    </row>
    <row r="133" ht="14.25">
      <c r="F133" s="401"/>
    </row>
    <row r="134" ht="14.25">
      <c r="F134" s="539"/>
    </row>
    <row r="135" ht="14.25">
      <c r="F135" s="401"/>
    </row>
    <row r="136" ht="14.25">
      <c r="F136" s="401"/>
    </row>
    <row r="137" ht="14.25">
      <c r="F137" s="401"/>
    </row>
    <row r="138" ht="14.25">
      <c r="F138" s="401"/>
    </row>
    <row r="139" ht="14.25">
      <c r="F139" s="401"/>
    </row>
    <row r="140" ht="14.25">
      <c r="F140" s="401"/>
    </row>
    <row r="141" ht="14.25">
      <c r="F141" s="401"/>
    </row>
    <row r="142" ht="14.25">
      <c r="F142" s="401"/>
    </row>
    <row r="143" ht="14.25">
      <c r="F143" s="401"/>
    </row>
    <row r="144" ht="14.25">
      <c r="F144" s="401"/>
    </row>
    <row r="145" ht="14.25">
      <c r="F145" s="401"/>
    </row>
    <row r="146" ht="14.25">
      <c r="F146" s="401"/>
    </row>
    <row r="147" ht="14.25">
      <c r="F147" s="401"/>
    </row>
    <row r="148" ht="14.25">
      <c r="F148" s="401"/>
    </row>
    <row r="149" ht="14.25">
      <c r="F149" s="401"/>
    </row>
    <row r="150" ht="14.25">
      <c r="F150" s="401"/>
    </row>
    <row r="151" ht="14.25">
      <c r="F151" s="401"/>
    </row>
    <row r="152" ht="14.25">
      <c r="F152" s="538"/>
    </row>
    <row r="153" ht="14.25">
      <c r="F153" s="401"/>
    </row>
    <row r="154" ht="14.25">
      <c r="F154" s="539"/>
    </row>
    <row r="155" ht="14.25">
      <c r="F155" s="401"/>
    </row>
    <row r="156" ht="14.25">
      <c r="F156" s="425"/>
    </row>
    <row r="157" ht="14.25">
      <c r="F157" s="401"/>
    </row>
    <row r="158" ht="14.25">
      <c r="F158" s="401"/>
    </row>
    <row r="159" ht="14.25">
      <c r="F159" s="425"/>
    </row>
    <row r="160" ht="14.25">
      <c r="F160" s="401"/>
    </row>
    <row r="161" ht="14.25">
      <c r="F161" s="538"/>
    </row>
    <row r="162" ht="14.25">
      <c r="F162" s="401"/>
    </row>
    <row r="163" ht="14.25">
      <c r="F163" s="540"/>
    </row>
    <row r="164" ht="14.25">
      <c r="F164" s="542"/>
    </row>
    <row r="165" ht="14.25">
      <c r="F165" s="54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tabColor theme="3"/>
  </sheetPr>
  <dimension ref="B2:AJ185"/>
  <sheetViews>
    <sheetView tabSelected="1" zoomScale="75" zoomScaleNormal="75" zoomScalePageLayoutView="0" workbookViewId="0" topLeftCell="A1">
      <selection activeCell="K68" sqref="K68"/>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77" t="s">
        <v>448</v>
      </c>
      <c r="E2" s="663"/>
      <c r="F2" s="663"/>
      <c r="G2" s="663"/>
      <c r="H2" s="663"/>
      <c r="I2" s="663"/>
      <c r="J2" s="663"/>
      <c r="K2" s="663"/>
      <c r="L2" s="663"/>
      <c r="M2" s="663"/>
      <c r="N2" s="663"/>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Gary Middle College</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2021-2022</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59" t="s">
        <v>124</v>
      </c>
      <c r="E8" s="660"/>
      <c r="F8" s="660"/>
      <c r="G8" s="660"/>
      <c r="H8" s="660"/>
      <c r="I8" s="660"/>
      <c r="J8" s="660"/>
      <c r="K8" s="660"/>
      <c r="L8" s="660"/>
      <c r="M8" s="660"/>
      <c r="N8" s="661"/>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75" t="s">
        <v>554</v>
      </c>
      <c r="E10" s="676"/>
      <c r="F10" s="676"/>
      <c r="G10" s="676"/>
      <c r="H10" s="676"/>
      <c r="I10" s="676"/>
      <c r="J10" s="676"/>
      <c r="K10" s="676"/>
      <c r="L10" s="676"/>
      <c r="M10" s="676"/>
      <c r="N10" s="676"/>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18" t="s">
        <v>20</v>
      </c>
      <c r="E13" s="619"/>
      <c r="F13" s="503"/>
      <c r="G13" s="664" t="s">
        <v>12</v>
      </c>
      <c r="H13" s="664" t="s">
        <v>7</v>
      </c>
      <c r="I13" s="664" t="s">
        <v>8</v>
      </c>
      <c r="J13" s="664" t="s">
        <v>9</v>
      </c>
      <c r="K13" s="664" t="s">
        <v>10</v>
      </c>
      <c r="L13" s="667" t="s">
        <v>11</v>
      </c>
      <c r="M13" s="483"/>
      <c r="N13" s="667" t="s">
        <v>555</v>
      </c>
      <c r="O13" s="399"/>
      <c r="P13" s="388"/>
    </row>
    <row r="14" spans="2:16" ht="15" customHeight="1">
      <c r="B14" s="382"/>
      <c r="C14" s="400"/>
      <c r="D14" s="620"/>
      <c r="E14" s="621"/>
      <c r="F14" s="465"/>
      <c r="G14" s="665"/>
      <c r="H14" s="666"/>
      <c r="I14" s="666"/>
      <c r="J14" s="666"/>
      <c r="K14" s="666"/>
      <c r="L14" s="666"/>
      <c r="M14" s="484"/>
      <c r="N14" s="665"/>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51" t="s">
        <v>486</v>
      </c>
      <c r="E16" s="652"/>
      <c r="F16" s="385"/>
      <c r="G16" s="385"/>
      <c r="H16" s="422"/>
      <c r="I16" s="422"/>
      <c r="J16" s="422"/>
      <c r="K16" s="422"/>
      <c r="L16" s="423"/>
      <c r="M16" s="386"/>
      <c r="N16" s="487" t="s">
        <v>556</v>
      </c>
      <c r="O16" s="403"/>
      <c r="P16" s="388"/>
      <c r="Q16" s="404"/>
    </row>
    <row r="17" spans="2:16" ht="15.75" customHeight="1">
      <c r="B17" s="382"/>
      <c r="C17" s="400"/>
      <c r="D17" s="613" t="s">
        <v>586</v>
      </c>
      <c r="E17" s="614"/>
      <c r="F17" s="120"/>
      <c r="G17" s="410"/>
      <c r="H17" s="406">
        <f>IF('2. Enrollment Projections'!E33&gt;0,'2. Enrollment Projections'!E43,'2. Enrollment Projections'!E41)</f>
        <v>810000</v>
      </c>
      <c r="I17" s="406">
        <f>IF('2. Enrollment Projections'!F33&gt;0,'2. Enrollment Projections'!F43,'2. Enrollment Projections'!F41)</f>
        <v>945000</v>
      </c>
      <c r="J17" s="406">
        <f>IF('2. Enrollment Projections'!G33&gt;0,'2. Enrollment Projections'!G43,'2. Enrollment Projections'!G41)</f>
        <v>1080000</v>
      </c>
      <c r="K17" s="406">
        <f>IF('2. Enrollment Projections'!H33&gt;0,'2. Enrollment Projections'!H43,'2. Enrollment Projections'!H41)</f>
        <v>1215000</v>
      </c>
      <c r="L17" s="406">
        <f>IF('2. Enrollment Projections'!I33&gt;0,'2. Enrollment Projections'!I43,'2. Enrollment Projections'!I41)</f>
        <v>1350000</v>
      </c>
      <c r="M17" s="477"/>
      <c r="N17" s="672" t="s">
        <v>607</v>
      </c>
      <c r="O17" s="403"/>
      <c r="P17" s="407"/>
    </row>
    <row r="18" spans="2:17" ht="15.75" customHeight="1">
      <c r="B18" s="382"/>
      <c r="C18" s="400"/>
      <c r="D18" s="613" t="s">
        <v>459</v>
      </c>
      <c r="E18" s="614"/>
      <c r="F18" s="120"/>
      <c r="G18" s="410"/>
      <c r="H18" s="406">
        <f>IF('2. Enrollment Projections'!E33&gt;0,('2. Enrollment Projections'!E33*'2. Enrollment Projections'!E36)*CONTROL!$K$21,('2. Enrollment Projections'!E29*'2. Enrollment Projections'!E36)*CONTROL!$K$21)</f>
        <v>27600</v>
      </c>
      <c r="I18" s="406">
        <f>IF('2. Enrollment Projections'!F33&gt;0,('2. Enrollment Projections'!F33*'2. Enrollment Projections'!F36)*CONTROL!$K$21,('2. Enrollment Projections'!F29*'2. Enrollment Projections'!F36)*CONTROL!$K$21)</f>
        <v>32200</v>
      </c>
      <c r="J18" s="406">
        <f>IF('2. Enrollment Projections'!G33&gt;0,('2. Enrollment Projections'!G33*'2. Enrollment Projections'!G36)*CONTROL!$K$21,('2. Enrollment Projections'!G29*'2. Enrollment Projections'!G36)*CONTROL!$K$21)</f>
        <v>36800</v>
      </c>
      <c r="K18" s="406">
        <f>IF('2. Enrollment Projections'!H33&gt;0,('2. Enrollment Projections'!H33*'2. Enrollment Projections'!H36)*CONTROL!$K$21,('2. Enrollment Projections'!H29*'2. Enrollment Projections'!H36)*CONTROL!$K$21)</f>
        <v>41400</v>
      </c>
      <c r="L18" s="406">
        <f>IF('2. Enrollment Projections'!I33&gt;0,('2. Enrollment Projections'!I33*'2. Enrollment Projections'!I36)*CONTROL!$K$21,('2. Enrollment Projections'!I29*'2. Enrollment Projections'!I36)*CONTROL!$K$21)</f>
        <v>46000</v>
      </c>
      <c r="M18" s="477"/>
      <c r="N18" s="673"/>
      <c r="O18" s="408"/>
      <c r="P18" s="407"/>
      <c r="Q18" s="372"/>
    </row>
    <row r="19" spans="2:16" ht="15.75" customHeight="1">
      <c r="B19" s="382"/>
      <c r="C19" s="400"/>
      <c r="D19" s="657" t="s">
        <v>477</v>
      </c>
      <c r="E19" s="658"/>
      <c r="F19" s="498"/>
      <c r="G19" s="410"/>
      <c r="H19" s="409">
        <v>0</v>
      </c>
      <c r="I19" s="409">
        <v>0</v>
      </c>
      <c r="J19" s="409">
        <v>0</v>
      </c>
      <c r="K19" s="409">
        <v>0</v>
      </c>
      <c r="L19" s="409">
        <v>0</v>
      </c>
      <c r="M19" s="486"/>
      <c r="N19" s="673"/>
      <c r="O19" s="403"/>
      <c r="P19" s="407"/>
    </row>
    <row r="20" spans="2:16" ht="15.75" customHeight="1">
      <c r="B20" s="382"/>
      <c r="C20" s="400"/>
      <c r="D20" s="657" t="s">
        <v>478</v>
      </c>
      <c r="E20" s="658"/>
      <c r="F20" s="498"/>
      <c r="G20" s="410"/>
      <c r="H20" s="409">
        <v>0</v>
      </c>
      <c r="I20" s="409">
        <v>0</v>
      </c>
      <c r="J20" s="409">
        <v>0</v>
      </c>
      <c r="K20" s="409">
        <v>0</v>
      </c>
      <c r="L20" s="409">
        <v>0</v>
      </c>
      <c r="M20" s="486"/>
      <c r="N20" s="673"/>
      <c r="O20" s="403"/>
      <c r="P20" s="407"/>
    </row>
    <row r="21" spans="2:16" ht="15.75" customHeight="1">
      <c r="B21" s="382"/>
      <c r="C21" s="400"/>
      <c r="D21" s="655" t="s">
        <v>479</v>
      </c>
      <c r="E21" s="656"/>
      <c r="F21" s="496"/>
      <c r="G21" s="410"/>
      <c r="H21" s="409">
        <v>0</v>
      </c>
      <c r="I21" s="409">
        <v>0</v>
      </c>
      <c r="J21" s="409">
        <v>0</v>
      </c>
      <c r="K21" s="409">
        <v>0</v>
      </c>
      <c r="L21" s="409">
        <v>0</v>
      </c>
      <c r="M21" s="486"/>
      <c r="N21" s="673"/>
      <c r="O21" s="403"/>
      <c r="P21" s="407"/>
    </row>
    <row r="22" spans="2:16" ht="15.75" customHeight="1">
      <c r="B22" s="382"/>
      <c r="C22" s="400"/>
      <c r="D22" s="655" t="s">
        <v>480</v>
      </c>
      <c r="E22" s="656"/>
      <c r="F22" s="496"/>
      <c r="G22" s="410"/>
      <c r="H22" s="409">
        <f>155*1000</f>
        <v>155000</v>
      </c>
      <c r="I22" s="409">
        <f>310*1250</f>
        <v>387500</v>
      </c>
      <c r="J22" s="409">
        <f>370*1250</f>
        <v>462500</v>
      </c>
      <c r="K22" s="409">
        <f>370*1250</f>
        <v>462500</v>
      </c>
      <c r="L22" s="409">
        <f>490*1250</f>
        <v>612500</v>
      </c>
      <c r="M22" s="486"/>
      <c r="N22" s="673"/>
      <c r="O22" s="403"/>
      <c r="P22" s="407"/>
    </row>
    <row r="23" spans="2:16" ht="15.75" customHeight="1">
      <c r="B23" s="382"/>
      <c r="C23" s="400"/>
      <c r="D23" s="655" t="s">
        <v>21</v>
      </c>
      <c r="E23" s="656"/>
      <c r="F23" s="496"/>
      <c r="G23" s="410"/>
      <c r="H23" s="409">
        <v>0</v>
      </c>
      <c r="I23" s="409">
        <v>0</v>
      </c>
      <c r="J23" s="409">
        <v>0</v>
      </c>
      <c r="K23" s="409">
        <v>0</v>
      </c>
      <c r="L23" s="409">
        <v>0</v>
      </c>
      <c r="M23" s="486"/>
      <c r="N23" s="673"/>
      <c r="O23" s="403"/>
      <c r="P23" s="407"/>
    </row>
    <row r="24" spans="2:16" ht="15.75" customHeight="1">
      <c r="B24" s="382"/>
      <c r="C24" s="400"/>
      <c r="D24" s="655" t="s">
        <v>17</v>
      </c>
      <c r="E24" s="656"/>
      <c r="F24" s="496"/>
      <c r="G24" s="410"/>
      <c r="H24" s="409">
        <v>0</v>
      </c>
      <c r="I24" s="409">
        <v>0</v>
      </c>
      <c r="J24" s="409">
        <v>0</v>
      </c>
      <c r="K24" s="409">
        <v>0</v>
      </c>
      <c r="L24" s="409">
        <v>0</v>
      </c>
      <c r="M24" s="486"/>
      <c r="N24" s="673"/>
      <c r="O24" s="411"/>
      <c r="P24" s="407"/>
    </row>
    <row r="25" spans="2:16" ht="15.75" customHeight="1">
      <c r="B25" s="382"/>
      <c r="C25" s="400"/>
      <c r="D25" s="655" t="s">
        <v>481</v>
      </c>
      <c r="E25" s="656"/>
      <c r="F25" s="496"/>
      <c r="G25" s="410"/>
      <c r="H25" s="409">
        <v>20000</v>
      </c>
      <c r="I25" s="409">
        <f>H25*1.1</f>
        <v>22000</v>
      </c>
      <c r="J25" s="409">
        <f>I25*1.1</f>
        <v>24200.000000000004</v>
      </c>
      <c r="K25" s="409">
        <f>J25*1.1</f>
        <v>26620.000000000007</v>
      </c>
      <c r="L25" s="409">
        <f>K25*1.1</f>
        <v>29282.00000000001</v>
      </c>
      <c r="M25" s="486"/>
      <c r="N25" s="673"/>
      <c r="O25" s="411"/>
      <c r="P25" s="407"/>
    </row>
    <row r="26" spans="2:16" ht="15.75" customHeight="1">
      <c r="B26" s="382"/>
      <c r="C26" s="400"/>
      <c r="D26" s="655" t="s">
        <v>18</v>
      </c>
      <c r="E26" s="656"/>
      <c r="F26" s="496"/>
      <c r="G26" s="410"/>
      <c r="H26" s="409">
        <f>(H101+H105)*0.2</f>
        <v>9000</v>
      </c>
      <c r="I26" s="409">
        <f>(I101+I105)*0.2</f>
        <v>9900</v>
      </c>
      <c r="J26" s="409">
        <f>(J101+J105)*0.2</f>
        <v>10890</v>
      </c>
      <c r="K26" s="409">
        <f>(K101+K105)*0.2</f>
        <v>11979.000000000004</v>
      </c>
      <c r="L26" s="409">
        <f>(L101+L105)*0.2</f>
        <v>13176.900000000003</v>
      </c>
      <c r="M26" s="490"/>
      <c r="N26" s="673"/>
      <c r="O26" s="412"/>
      <c r="P26" s="407"/>
    </row>
    <row r="27" spans="2:23" ht="15.75" customHeight="1">
      <c r="B27" s="382"/>
      <c r="C27" s="400"/>
      <c r="D27" s="653" t="s">
        <v>482</v>
      </c>
      <c r="E27" s="654"/>
      <c r="F27" s="496"/>
      <c r="G27" s="410"/>
      <c r="H27" s="409">
        <v>0</v>
      </c>
      <c r="I27" s="409">
        <v>0</v>
      </c>
      <c r="J27" s="409">
        <v>0</v>
      </c>
      <c r="K27" s="409">
        <v>0</v>
      </c>
      <c r="L27" s="409">
        <v>0</v>
      </c>
      <c r="M27" s="490"/>
      <c r="N27" s="673"/>
      <c r="O27" s="403"/>
      <c r="P27" s="407"/>
      <c r="Q27" s="401"/>
      <c r="R27" s="401"/>
      <c r="S27" s="401"/>
      <c r="T27" s="401"/>
      <c r="U27" s="401"/>
      <c r="V27" s="401"/>
      <c r="W27" s="401"/>
    </row>
    <row r="28" spans="2:23" ht="15.75" customHeight="1">
      <c r="B28" s="382"/>
      <c r="C28" s="400"/>
      <c r="D28" s="655" t="s">
        <v>483</v>
      </c>
      <c r="E28" s="656"/>
      <c r="F28" s="496"/>
      <c r="G28" s="410"/>
      <c r="H28" s="409">
        <v>0</v>
      </c>
      <c r="I28" s="409">
        <v>0</v>
      </c>
      <c r="J28" s="409">
        <v>0</v>
      </c>
      <c r="K28" s="409">
        <v>0</v>
      </c>
      <c r="L28" s="409">
        <v>0</v>
      </c>
      <c r="M28" s="486"/>
      <c r="N28" s="673"/>
      <c r="O28" s="403"/>
      <c r="P28" s="407"/>
      <c r="Q28" s="401"/>
      <c r="R28" s="401"/>
      <c r="S28" s="401"/>
      <c r="T28" s="401"/>
      <c r="U28" s="401"/>
      <c r="V28" s="401"/>
      <c r="W28" s="401"/>
    </row>
    <row r="29" spans="2:17" ht="15.75" customHeight="1">
      <c r="B29" s="382"/>
      <c r="C29" s="400"/>
      <c r="D29" s="655" t="s">
        <v>484</v>
      </c>
      <c r="E29" s="656"/>
      <c r="F29" s="496"/>
      <c r="G29" s="410"/>
      <c r="H29" s="409">
        <v>1187907</v>
      </c>
      <c r="I29" s="409">
        <v>1302866</v>
      </c>
      <c r="J29" s="409">
        <v>1609423</v>
      </c>
      <c r="K29" s="409">
        <v>1915980</v>
      </c>
      <c r="L29" s="409">
        <v>2222536</v>
      </c>
      <c r="M29" s="486"/>
      <c r="N29" s="674"/>
      <c r="O29" s="403"/>
      <c r="P29" s="407"/>
      <c r="Q29" s="372"/>
    </row>
    <row r="30" spans="2:17" ht="15.75" customHeight="1">
      <c r="B30" s="382"/>
      <c r="C30" s="400"/>
      <c r="D30" s="595"/>
      <c r="E30" s="596"/>
      <c r="F30" s="120"/>
      <c r="G30" s="410"/>
      <c r="H30" s="117"/>
      <c r="I30" s="117"/>
      <c r="J30" s="117"/>
      <c r="K30" s="117"/>
      <c r="L30" s="402"/>
      <c r="M30" s="386"/>
      <c r="N30" s="466" t="s">
        <v>2</v>
      </c>
      <c r="O30" s="403"/>
      <c r="P30" s="413"/>
      <c r="Q30" s="372"/>
    </row>
    <row r="31" spans="2:17" ht="15.75" customHeight="1">
      <c r="B31" s="382"/>
      <c r="C31" s="400"/>
      <c r="D31" s="597" t="s">
        <v>485</v>
      </c>
      <c r="E31" s="598"/>
      <c r="F31" s="121"/>
      <c r="G31" s="414"/>
      <c r="H31" s="415">
        <f>SUM(H17:H29)</f>
        <v>2209507</v>
      </c>
      <c r="I31" s="415">
        <f>SUM(I17:I29)</f>
        <v>2699466</v>
      </c>
      <c r="J31" s="415">
        <f>SUM(J17:J29)</f>
        <v>3223813</v>
      </c>
      <c r="K31" s="415">
        <f>SUM(K17:K29)</f>
        <v>3673479</v>
      </c>
      <c r="L31" s="416">
        <f>SUM(L17:L29)</f>
        <v>4273494.9</v>
      </c>
      <c r="M31" s="478"/>
      <c r="N31" s="464"/>
      <c r="O31" s="403"/>
      <c r="P31" s="413"/>
      <c r="Q31" s="372"/>
    </row>
    <row r="32" spans="2:17" ht="15.75" customHeight="1">
      <c r="B32" s="382"/>
      <c r="C32" s="400"/>
      <c r="D32" s="595"/>
      <c r="E32" s="596"/>
      <c r="F32" s="120"/>
      <c r="G32" s="410"/>
      <c r="H32" s="118"/>
      <c r="I32" s="118"/>
      <c r="J32" s="118"/>
      <c r="K32" s="118"/>
      <c r="L32" s="417"/>
      <c r="M32" s="386"/>
      <c r="N32" s="464"/>
      <c r="O32" s="403"/>
      <c r="P32" s="413"/>
      <c r="Q32" s="372"/>
    </row>
    <row r="33" spans="2:17" ht="15.75" customHeight="1">
      <c r="B33" s="382"/>
      <c r="C33" s="400"/>
      <c r="D33" s="599" t="s">
        <v>558</v>
      </c>
      <c r="E33" s="600"/>
      <c r="F33" s="385"/>
      <c r="G33" s="427"/>
      <c r="H33" s="649"/>
      <c r="I33" s="650"/>
      <c r="J33" s="650"/>
      <c r="K33" s="650"/>
      <c r="L33" s="650"/>
      <c r="M33" s="391"/>
      <c r="N33" s="491" t="s">
        <v>557</v>
      </c>
      <c r="O33" s="403"/>
      <c r="P33" s="413"/>
      <c r="Q33" s="372"/>
    </row>
    <row r="34" spans="2:17" ht="15.75" customHeight="1">
      <c r="B34" s="382"/>
      <c r="C34" s="400"/>
      <c r="D34" s="595" t="s">
        <v>444</v>
      </c>
      <c r="E34" s="596"/>
      <c r="F34" s="495"/>
      <c r="G34" s="502">
        <f>'4. Budget &amp; Cash Flow (Year 0)'!S16</f>
        <v>0</v>
      </c>
      <c r="H34" s="409">
        <v>0</v>
      </c>
      <c r="I34" s="409">
        <v>0</v>
      </c>
      <c r="J34" s="409">
        <v>0</v>
      </c>
      <c r="K34" s="409">
        <v>0</v>
      </c>
      <c r="L34" s="409">
        <v>0</v>
      </c>
      <c r="M34" s="482"/>
      <c r="N34" s="677" t="s">
        <v>608</v>
      </c>
      <c r="O34" s="412"/>
      <c r="P34" s="413"/>
      <c r="Q34" s="372"/>
    </row>
    <row r="35" spans="2:17" ht="15.75" customHeight="1">
      <c r="B35" s="382"/>
      <c r="C35" s="400"/>
      <c r="D35" s="595" t="s">
        <v>487</v>
      </c>
      <c r="E35" s="596"/>
      <c r="F35" s="120"/>
      <c r="G35" s="410"/>
      <c r="H35" s="409">
        <v>0</v>
      </c>
      <c r="I35" s="409">
        <v>0</v>
      </c>
      <c r="J35" s="409">
        <v>0</v>
      </c>
      <c r="K35" s="409">
        <v>0</v>
      </c>
      <c r="L35" s="409">
        <v>0</v>
      </c>
      <c r="M35" s="485"/>
      <c r="N35" s="670"/>
      <c r="O35" s="403"/>
      <c r="P35" s="407"/>
      <c r="Q35" s="372"/>
    </row>
    <row r="36" spans="2:17" ht="15.75" customHeight="1">
      <c r="B36" s="382"/>
      <c r="C36" s="400"/>
      <c r="D36" s="595" t="s">
        <v>22</v>
      </c>
      <c r="E36" s="596"/>
      <c r="F36" s="120"/>
      <c r="G36" s="410"/>
      <c r="H36" s="409">
        <v>60000</v>
      </c>
      <c r="I36" s="409">
        <f aca="true" t="shared" si="0" ref="I36:L37">H36*1.1</f>
        <v>66000</v>
      </c>
      <c r="J36" s="409">
        <f t="shared" si="0"/>
        <v>72600</v>
      </c>
      <c r="K36" s="409">
        <f t="shared" si="0"/>
        <v>79860</v>
      </c>
      <c r="L36" s="409">
        <f t="shared" si="0"/>
        <v>87846</v>
      </c>
      <c r="M36" s="485"/>
      <c r="N36" s="670"/>
      <c r="O36" s="403"/>
      <c r="P36" s="413"/>
      <c r="Q36" s="372"/>
    </row>
    <row r="37" spans="2:17" ht="15.75" customHeight="1">
      <c r="B37" s="382"/>
      <c r="C37" s="400"/>
      <c r="D37" s="595" t="s">
        <v>0</v>
      </c>
      <c r="E37" s="596"/>
      <c r="F37" s="120"/>
      <c r="G37" s="410"/>
      <c r="H37" s="409">
        <v>120000</v>
      </c>
      <c r="I37" s="409">
        <f t="shared" si="0"/>
        <v>132000</v>
      </c>
      <c r="J37" s="409">
        <f t="shared" si="0"/>
        <v>145200</v>
      </c>
      <c r="K37" s="409">
        <f t="shared" si="0"/>
        <v>159720</v>
      </c>
      <c r="L37" s="409">
        <f t="shared" si="0"/>
        <v>175692</v>
      </c>
      <c r="M37" s="485"/>
      <c r="N37" s="670"/>
      <c r="O37" s="403"/>
      <c r="P37" s="413"/>
      <c r="Q37" s="372"/>
    </row>
    <row r="38" spans="2:17" ht="15.75" customHeight="1">
      <c r="B38" s="382"/>
      <c r="C38" s="400"/>
      <c r="D38" s="595" t="s">
        <v>1</v>
      </c>
      <c r="E38" s="596"/>
      <c r="F38" s="120"/>
      <c r="G38" s="410"/>
      <c r="H38" s="409">
        <v>0</v>
      </c>
      <c r="I38" s="409">
        <v>0</v>
      </c>
      <c r="J38" s="409">
        <v>0</v>
      </c>
      <c r="K38" s="409">
        <v>0</v>
      </c>
      <c r="L38" s="409">
        <v>0</v>
      </c>
      <c r="M38" s="485"/>
      <c r="N38" s="670"/>
      <c r="O38" s="403"/>
      <c r="P38" s="413"/>
      <c r="Q38" s="372"/>
    </row>
    <row r="39" spans="2:17" ht="15.75" customHeight="1">
      <c r="B39" s="382"/>
      <c r="C39" s="400"/>
      <c r="D39" s="595" t="s">
        <v>15</v>
      </c>
      <c r="E39" s="596"/>
      <c r="F39" s="120"/>
      <c r="G39" s="410"/>
      <c r="H39" s="409">
        <v>0</v>
      </c>
      <c r="I39" s="409">
        <v>0</v>
      </c>
      <c r="J39" s="409">
        <v>0</v>
      </c>
      <c r="K39" s="409">
        <v>0</v>
      </c>
      <c r="L39" s="409">
        <v>0</v>
      </c>
      <c r="M39" s="485"/>
      <c r="N39" s="670"/>
      <c r="O39" s="403"/>
      <c r="P39" s="413"/>
      <c r="Q39" s="372"/>
    </row>
    <row r="40" spans="2:17" ht="15.75" customHeight="1">
      <c r="B40" s="382"/>
      <c r="C40" s="400"/>
      <c r="D40" s="595" t="s">
        <v>16</v>
      </c>
      <c r="E40" s="596"/>
      <c r="F40" s="120"/>
      <c r="G40" s="410"/>
      <c r="H40" s="409">
        <v>0</v>
      </c>
      <c r="I40" s="409">
        <v>0</v>
      </c>
      <c r="J40" s="409">
        <v>0</v>
      </c>
      <c r="K40" s="409">
        <v>0</v>
      </c>
      <c r="L40" s="409">
        <v>0</v>
      </c>
      <c r="M40" s="485"/>
      <c r="N40" s="670"/>
      <c r="O40" s="403"/>
      <c r="P40" s="413"/>
      <c r="Q40" s="372"/>
    </row>
    <row r="41" spans="2:16" ht="15.75" customHeight="1">
      <c r="B41" s="382"/>
      <c r="C41" s="400"/>
      <c r="D41" s="595" t="s">
        <v>488</v>
      </c>
      <c r="E41" s="596"/>
      <c r="F41" s="495"/>
      <c r="G41" s="502">
        <f>'4. Budget &amp; Cash Flow (Year 0)'!S17</f>
        <v>0</v>
      </c>
      <c r="H41" s="409">
        <v>0</v>
      </c>
      <c r="I41" s="409">
        <v>0</v>
      </c>
      <c r="J41" s="409">
        <v>0</v>
      </c>
      <c r="K41" s="409">
        <v>0</v>
      </c>
      <c r="L41" s="409">
        <v>0</v>
      </c>
      <c r="M41" s="485"/>
      <c r="N41" s="671"/>
      <c r="O41" s="403"/>
      <c r="P41" s="413"/>
    </row>
    <row r="42" spans="2:16" ht="15.75" customHeight="1">
      <c r="B42" s="382"/>
      <c r="C42" s="400"/>
      <c r="D42" s="595"/>
      <c r="E42" s="596"/>
      <c r="F42" s="120"/>
      <c r="G42" s="419"/>
      <c r="H42" s="117"/>
      <c r="I42" s="117"/>
      <c r="J42" s="117"/>
      <c r="K42" s="117"/>
      <c r="L42" s="402"/>
      <c r="M42" s="386"/>
      <c r="N42" s="466"/>
      <c r="O42" s="403"/>
      <c r="P42" s="413"/>
    </row>
    <row r="43" spans="2:16" ht="15.75" customHeight="1">
      <c r="B43" s="382"/>
      <c r="C43" s="400"/>
      <c r="D43" s="597" t="s">
        <v>560</v>
      </c>
      <c r="E43" s="598"/>
      <c r="F43" s="119"/>
      <c r="G43" s="420">
        <f>G34+G41</f>
        <v>0</v>
      </c>
      <c r="H43" s="415">
        <f>SUM(H34:H41)</f>
        <v>180000</v>
      </c>
      <c r="I43" s="415">
        <f>SUM(I34:I41)</f>
        <v>198000</v>
      </c>
      <c r="J43" s="415">
        <f>SUM(J34:J41)</f>
        <v>217800</v>
      </c>
      <c r="K43" s="415">
        <f>SUM(K34:K41)</f>
        <v>239580</v>
      </c>
      <c r="L43" s="415">
        <f>SUM(L34:L41)</f>
        <v>263538</v>
      </c>
      <c r="M43" s="478"/>
      <c r="N43" s="488"/>
      <c r="O43" s="403"/>
      <c r="P43" s="413"/>
    </row>
    <row r="44" spans="2:16" ht="15.75" customHeight="1">
      <c r="B44" s="382"/>
      <c r="C44" s="400"/>
      <c r="D44" s="595"/>
      <c r="E44" s="596"/>
      <c r="F44" s="120"/>
      <c r="G44" s="421"/>
      <c r="H44" s="118"/>
      <c r="I44" s="118"/>
      <c r="J44" s="118"/>
      <c r="K44" s="118"/>
      <c r="L44" s="417"/>
      <c r="M44" s="386"/>
      <c r="N44" s="464"/>
      <c r="O44" s="403"/>
      <c r="P44" s="413"/>
    </row>
    <row r="45" spans="2:16" ht="15.75" customHeight="1">
      <c r="B45" s="382"/>
      <c r="C45" s="400"/>
      <c r="D45" s="599" t="s">
        <v>559</v>
      </c>
      <c r="E45" s="600"/>
      <c r="F45" s="385"/>
      <c r="G45" s="500"/>
      <c r="H45" s="422"/>
      <c r="I45" s="422"/>
      <c r="J45" s="422"/>
      <c r="K45" s="422"/>
      <c r="L45" s="423"/>
      <c r="M45" s="386"/>
      <c r="N45" s="491" t="s">
        <v>589</v>
      </c>
      <c r="O45" s="403"/>
      <c r="P45" s="413"/>
    </row>
    <row r="46" spans="2:16" ht="15.75" customHeight="1">
      <c r="B46" s="382"/>
      <c r="C46" s="400"/>
      <c r="D46" s="595" t="s">
        <v>23</v>
      </c>
      <c r="E46" s="596"/>
      <c r="F46" s="495"/>
      <c r="G46" s="418">
        <f>'4. Budget &amp; Cash Flow (Year 0)'!S22</f>
        <v>0</v>
      </c>
      <c r="H46" s="409">
        <v>0</v>
      </c>
      <c r="I46" s="409">
        <v>0</v>
      </c>
      <c r="J46" s="409">
        <v>0</v>
      </c>
      <c r="K46" s="409">
        <v>0</v>
      </c>
      <c r="L46" s="409">
        <v>0</v>
      </c>
      <c r="M46" s="485"/>
      <c r="N46" s="669" t="s">
        <v>609</v>
      </c>
      <c r="O46" s="403"/>
      <c r="P46" s="413"/>
    </row>
    <row r="47" spans="2:16" ht="15.75" customHeight="1">
      <c r="B47" s="382"/>
      <c r="C47" s="400"/>
      <c r="D47" s="595" t="s">
        <v>489</v>
      </c>
      <c r="E47" s="596"/>
      <c r="F47" s="120"/>
      <c r="G47" s="501"/>
      <c r="H47" s="409">
        <v>0</v>
      </c>
      <c r="I47" s="409">
        <v>0</v>
      </c>
      <c r="J47" s="409">
        <v>0</v>
      </c>
      <c r="K47" s="409">
        <v>0</v>
      </c>
      <c r="L47" s="409">
        <v>0</v>
      </c>
      <c r="M47" s="485"/>
      <c r="N47" s="670"/>
      <c r="O47" s="403"/>
      <c r="P47" s="413"/>
    </row>
    <row r="48" spans="2:16" ht="15.75" customHeight="1">
      <c r="B48" s="382"/>
      <c r="C48" s="400"/>
      <c r="D48" s="595" t="s">
        <v>24</v>
      </c>
      <c r="E48" s="596"/>
      <c r="F48" s="120"/>
      <c r="G48" s="499"/>
      <c r="H48" s="409">
        <v>0</v>
      </c>
      <c r="I48" s="409">
        <v>0</v>
      </c>
      <c r="J48" s="409">
        <v>0</v>
      </c>
      <c r="K48" s="409">
        <v>0</v>
      </c>
      <c r="L48" s="409">
        <v>0</v>
      </c>
      <c r="M48" s="485"/>
      <c r="N48" s="670"/>
      <c r="O48" s="403"/>
      <c r="P48" s="413"/>
    </row>
    <row r="49" spans="2:16" ht="15.75" customHeight="1">
      <c r="B49" s="382"/>
      <c r="C49" s="400"/>
      <c r="D49" s="595" t="s">
        <v>19</v>
      </c>
      <c r="E49" s="596"/>
      <c r="F49" s="495"/>
      <c r="G49" s="418">
        <f>'4. Budget &amp; Cash Flow (Year 0)'!S23</f>
        <v>0</v>
      </c>
      <c r="H49" s="409">
        <v>0</v>
      </c>
      <c r="I49" s="409">
        <v>0</v>
      </c>
      <c r="J49" s="409">
        <v>0</v>
      </c>
      <c r="K49" s="409">
        <v>0</v>
      </c>
      <c r="L49" s="409">
        <v>0</v>
      </c>
      <c r="M49" s="485"/>
      <c r="N49" s="670"/>
      <c r="O49" s="403"/>
      <c r="P49" s="424"/>
    </row>
    <row r="50" spans="2:16" ht="15.75" customHeight="1">
      <c r="B50" s="382"/>
      <c r="C50" s="400"/>
      <c r="D50" s="595" t="s">
        <v>25</v>
      </c>
      <c r="E50" s="596"/>
      <c r="F50" s="495"/>
      <c r="G50" s="418">
        <f>'4. Budget &amp; Cash Flow (Year 0)'!S24</f>
        <v>0</v>
      </c>
      <c r="H50" s="409">
        <v>0</v>
      </c>
      <c r="I50" s="409">
        <v>0</v>
      </c>
      <c r="J50" s="409">
        <v>0</v>
      </c>
      <c r="K50" s="409">
        <v>0</v>
      </c>
      <c r="L50" s="409">
        <v>0</v>
      </c>
      <c r="M50" s="485"/>
      <c r="N50" s="671"/>
      <c r="O50" s="403"/>
      <c r="P50" s="424"/>
    </row>
    <row r="51" spans="2:16" ht="15.75" customHeight="1">
      <c r="B51" s="382"/>
      <c r="C51" s="400"/>
      <c r="D51" s="595"/>
      <c r="E51" s="596"/>
      <c r="F51" s="120"/>
      <c r="G51" s="419"/>
      <c r="H51" s="117"/>
      <c r="I51" s="117"/>
      <c r="J51" s="117"/>
      <c r="K51" s="117"/>
      <c r="L51" s="402"/>
      <c r="M51" s="386"/>
      <c r="N51" s="466"/>
      <c r="O51" s="403"/>
      <c r="P51" s="424"/>
    </row>
    <row r="52" spans="2:16" ht="15.75" customHeight="1">
      <c r="B52" s="382"/>
      <c r="C52" s="400"/>
      <c r="D52" s="597" t="s">
        <v>561</v>
      </c>
      <c r="E52" s="598"/>
      <c r="F52" s="119"/>
      <c r="G52" s="420">
        <f>G46+G49+G50</f>
        <v>0</v>
      </c>
      <c r="H52" s="415">
        <f>SUM(H46:H50)</f>
        <v>0</v>
      </c>
      <c r="I52" s="415">
        <f>SUM(I46:I50)</f>
        <v>0</v>
      </c>
      <c r="J52" s="415">
        <f>SUM(J46:J50)</f>
        <v>0</v>
      </c>
      <c r="K52" s="415">
        <f>SUM(K46:K50)</f>
        <v>0</v>
      </c>
      <c r="L52" s="415">
        <f>SUM(L46:L50)</f>
        <v>0</v>
      </c>
      <c r="M52" s="478"/>
      <c r="N52" s="488"/>
      <c r="O52" s="403"/>
      <c r="P52" s="424"/>
    </row>
    <row r="53" spans="2:16" ht="15.75" customHeight="1">
      <c r="B53" s="382"/>
      <c r="C53" s="400"/>
      <c r="D53" s="595"/>
      <c r="E53" s="596"/>
      <c r="F53" s="120"/>
      <c r="G53" s="419"/>
      <c r="H53" s="117"/>
      <c r="I53" s="117"/>
      <c r="J53" s="117"/>
      <c r="K53" s="117"/>
      <c r="L53" s="402"/>
      <c r="M53" s="386"/>
      <c r="N53" s="464"/>
      <c r="O53" s="403"/>
      <c r="P53" s="424"/>
    </row>
    <row r="54" spans="2:16" ht="15.75" customHeight="1">
      <c r="B54" s="382"/>
      <c r="C54" s="400"/>
      <c r="D54" s="601" t="s">
        <v>562</v>
      </c>
      <c r="E54" s="602"/>
      <c r="F54" s="119"/>
      <c r="G54" s="420">
        <f>G43+G52</f>
        <v>0</v>
      </c>
      <c r="H54" s="415">
        <f>H31+H43+H52</f>
        <v>2389507</v>
      </c>
      <c r="I54" s="415">
        <f>I31+I43+I52</f>
        <v>2897466</v>
      </c>
      <c r="J54" s="415">
        <f>J31+J43+J52</f>
        <v>3441613</v>
      </c>
      <c r="K54" s="415">
        <f>K31+K43+K52</f>
        <v>3913059</v>
      </c>
      <c r="L54" s="415">
        <f>L31+L43+L52</f>
        <v>4537032.9</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03" t="s">
        <v>26</v>
      </c>
      <c r="E56" s="604"/>
      <c r="F56" s="497"/>
      <c r="G56" s="427"/>
      <c r="H56" s="385"/>
      <c r="I56" s="385"/>
      <c r="J56" s="385"/>
      <c r="K56" s="385"/>
      <c r="L56" s="386"/>
      <c r="M56" s="386"/>
      <c r="N56" s="464"/>
      <c r="O56" s="403"/>
      <c r="P56" s="413"/>
      <c r="Q56" s="425"/>
    </row>
    <row r="57" spans="2:17" s="401" customFormat="1" ht="15.75" customHeight="1">
      <c r="B57" s="382"/>
      <c r="C57" s="400"/>
      <c r="D57" s="605"/>
      <c r="E57" s="606"/>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599" t="s">
        <v>506</v>
      </c>
      <c r="E59" s="600"/>
      <c r="F59" s="385"/>
      <c r="G59" s="427"/>
      <c r="H59" s="422"/>
      <c r="I59" s="422"/>
      <c r="J59" s="422"/>
      <c r="K59" s="422"/>
      <c r="L59" s="423"/>
      <c r="M59" s="386"/>
      <c r="N59" s="467"/>
      <c r="O59" s="411"/>
      <c r="P59" s="407"/>
    </row>
    <row r="60" spans="2:16" ht="15.75" customHeight="1">
      <c r="B60" s="382"/>
      <c r="C60" s="400"/>
      <c r="D60" s="595" t="s">
        <v>490</v>
      </c>
      <c r="E60" s="596"/>
      <c r="F60" s="120"/>
      <c r="G60" s="405"/>
      <c r="H60" s="409">
        <v>0</v>
      </c>
      <c r="I60" s="409">
        <v>0</v>
      </c>
      <c r="J60" s="409">
        <v>0</v>
      </c>
      <c r="K60" s="409">
        <v>0</v>
      </c>
      <c r="L60" s="409">
        <v>0</v>
      </c>
      <c r="M60" s="486"/>
      <c r="N60" s="488"/>
      <c r="O60" s="403"/>
      <c r="P60" s="424"/>
    </row>
    <row r="61" spans="2:16" ht="15.75" customHeight="1">
      <c r="B61" s="382"/>
      <c r="C61" s="400"/>
      <c r="D61" s="595" t="s">
        <v>491</v>
      </c>
      <c r="E61" s="596"/>
      <c r="F61" s="120"/>
      <c r="G61" s="405"/>
      <c r="H61" s="409">
        <v>110000</v>
      </c>
      <c r="I61" s="409">
        <v>113300</v>
      </c>
      <c r="J61" s="409">
        <v>116699</v>
      </c>
      <c r="K61" s="409">
        <v>120199.97</v>
      </c>
      <c r="L61" s="409">
        <v>123805.97</v>
      </c>
      <c r="M61" s="486"/>
      <c r="N61" s="488"/>
      <c r="O61" s="403"/>
      <c r="P61" s="424"/>
    </row>
    <row r="62" spans="2:16" ht="15.75" customHeight="1">
      <c r="B62" s="382"/>
      <c r="C62" s="400"/>
      <c r="D62" s="595" t="s">
        <v>584</v>
      </c>
      <c r="E62" s="596"/>
      <c r="F62" s="120"/>
      <c r="G62" s="405"/>
      <c r="H62" s="409">
        <f>80000</f>
        <v>80000</v>
      </c>
      <c r="I62" s="409">
        <f>(80000*1.03)+90000</f>
        <v>172400</v>
      </c>
      <c r="J62" s="409">
        <f>92700+84872</f>
        <v>177572</v>
      </c>
      <c r="K62" s="409">
        <f>98345.43+87418.16</f>
        <v>185763.59</v>
      </c>
      <c r="L62" s="409">
        <f>101295.79+90040.7</f>
        <v>191336.49</v>
      </c>
      <c r="M62" s="486"/>
      <c r="N62" s="488"/>
      <c r="O62" s="403"/>
      <c r="P62" s="424"/>
    </row>
    <row r="63" spans="2:16" ht="15.75" customHeight="1">
      <c r="B63" s="382"/>
      <c r="C63" s="400"/>
      <c r="D63" s="595" t="s">
        <v>27</v>
      </c>
      <c r="E63" s="596"/>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7" t="s">
        <v>28</v>
      </c>
      <c r="E65" s="598"/>
      <c r="F65" s="121"/>
      <c r="G65" s="414"/>
      <c r="H65" s="415">
        <f>SUM(H60:H63)</f>
        <v>190000</v>
      </c>
      <c r="I65" s="415">
        <f>SUM(I60:I63)</f>
        <v>285700</v>
      </c>
      <c r="J65" s="415">
        <f>SUM(J60:J63)</f>
        <v>294271</v>
      </c>
      <c r="K65" s="415">
        <f>SUM(K60:K63)</f>
        <v>305963.56</v>
      </c>
      <c r="L65" s="415">
        <f>SUM(L60:L63)</f>
        <v>315142.45999999996</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599" t="s">
        <v>492</v>
      </c>
      <c r="E67" s="600"/>
      <c r="F67" s="385"/>
      <c r="G67" s="427"/>
      <c r="H67" s="422"/>
      <c r="I67" s="422"/>
      <c r="J67" s="422"/>
      <c r="K67" s="422"/>
      <c r="L67" s="423"/>
      <c r="M67" s="386"/>
      <c r="N67" s="392"/>
      <c r="O67" s="428"/>
      <c r="P67" s="424"/>
      <c r="Q67" s="429"/>
    </row>
    <row r="68" spans="2:16" ht="15.75" customHeight="1">
      <c r="B68" s="382"/>
      <c r="C68" s="400"/>
      <c r="D68" s="595" t="s">
        <v>493</v>
      </c>
      <c r="E68" s="596"/>
      <c r="F68" s="120"/>
      <c r="G68" s="405"/>
      <c r="H68" s="409">
        <f>94000+94000+94000+94000</f>
        <v>376000</v>
      </c>
      <c r="I68" s="409">
        <f>96820*4</f>
        <v>387280</v>
      </c>
      <c r="J68" s="409">
        <f>124655.75*4-1390.5</f>
        <v>497232.5</v>
      </c>
      <c r="K68" s="409">
        <f>154074.51*4-4296.66</f>
        <v>612001.38</v>
      </c>
      <c r="L68" s="409">
        <f>211595.66*4-4425.54</f>
        <v>841957.1</v>
      </c>
      <c r="M68" s="486"/>
      <c r="N68" s="488"/>
      <c r="O68" s="403"/>
      <c r="P68" s="424"/>
    </row>
    <row r="69" spans="2:16" ht="15.75" customHeight="1">
      <c r="B69" s="382"/>
      <c r="C69" s="400"/>
      <c r="D69" s="595" t="s">
        <v>29</v>
      </c>
      <c r="E69" s="596"/>
      <c r="F69" s="120"/>
      <c r="G69" s="405"/>
      <c r="H69" s="409">
        <v>47000</v>
      </c>
      <c r="I69" s="409">
        <v>72615</v>
      </c>
      <c r="J69" s="409">
        <v>99724.6</v>
      </c>
      <c r="K69" s="409">
        <v>102716.34</v>
      </c>
      <c r="L69" s="543">
        <v>158696.74</v>
      </c>
      <c r="M69" s="486"/>
      <c r="N69" s="488"/>
      <c r="O69" s="403"/>
      <c r="P69" s="413"/>
    </row>
    <row r="70" spans="2:16" ht="15.75" customHeight="1">
      <c r="B70" s="382"/>
      <c r="C70" s="400"/>
      <c r="D70" s="595" t="s">
        <v>30</v>
      </c>
      <c r="E70" s="596"/>
      <c r="F70" s="120"/>
      <c r="G70" s="405"/>
      <c r="H70" s="409">
        <v>180000</v>
      </c>
      <c r="I70" s="409">
        <v>185400</v>
      </c>
      <c r="J70" s="409">
        <v>222789</v>
      </c>
      <c r="K70" s="409">
        <v>262254.48</v>
      </c>
      <c r="L70" s="409">
        <v>303887.37</v>
      </c>
      <c r="M70" s="486"/>
      <c r="N70" s="488"/>
      <c r="O70" s="403"/>
      <c r="P70" s="413"/>
    </row>
    <row r="71" spans="2:16" ht="15.75" customHeight="1">
      <c r="B71" s="382"/>
      <c r="C71" s="400"/>
      <c r="D71" s="595" t="s">
        <v>31</v>
      </c>
      <c r="E71" s="596"/>
      <c r="F71" s="120"/>
      <c r="G71" s="405"/>
      <c r="H71" s="409">
        <v>0</v>
      </c>
      <c r="I71" s="409">
        <v>0</v>
      </c>
      <c r="J71" s="409">
        <v>0</v>
      </c>
      <c r="K71" s="409">
        <v>0</v>
      </c>
      <c r="L71" s="409"/>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7" t="s">
        <v>32</v>
      </c>
      <c r="E73" s="598"/>
      <c r="F73" s="121"/>
      <c r="G73" s="414"/>
      <c r="H73" s="430">
        <f>SUM(H68:H71)</f>
        <v>603000</v>
      </c>
      <c r="I73" s="430">
        <f>SUM(I68:I71)</f>
        <v>645295</v>
      </c>
      <c r="J73" s="430">
        <f>SUM(J68:J71)</f>
        <v>819746.1</v>
      </c>
      <c r="K73" s="430">
        <f>SUM(K68:K71)</f>
        <v>976972.2</v>
      </c>
      <c r="L73" s="430">
        <f>SUM(L68:L71)</f>
        <v>1304541.21</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599" t="s">
        <v>33</v>
      </c>
      <c r="E75" s="600"/>
      <c r="F75" s="385"/>
      <c r="G75" s="427"/>
      <c r="H75" s="422"/>
      <c r="I75" s="422"/>
      <c r="J75" s="422"/>
      <c r="K75" s="422"/>
      <c r="L75" s="423"/>
      <c r="M75" s="386"/>
      <c r="N75" s="491" t="s">
        <v>563</v>
      </c>
      <c r="O75" s="403"/>
      <c r="P75" s="413"/>
      <c r="Q75" s="425"/>
    </row>
    <row r="76" spans="2:16" ht="15.75" customHeight="1">
      <c r="B76" s="382"/>
      <c r="C76" s="400"/>
      <c r="D76" s="595" t="s">
        <v>494</v>
      </c>
      <c r="E76" s="596"/>
      <c r="F76" s="120"/>
      <c r="G76" s="405"/>
      <c r="H76" s="409">
        <f>70000</f>
        <v>70000</v>
      </c>
      <c r="I76" s="409">
        <f>72100+45000</f>
        <v>117100</v>
      </c>
      <c r="J76" s="409">
        <f>148526+47740.5</f>
        <v>196266.5</v>
      </c>
      <c r="K76" s="409">
        <f>152981.78+49172.71</f>
        <v>202154.49</v>
      </c>
      <c r="L76" s="543">
        <f>157571.23+50647.91</f>
        <v>208219.14</v>
      </c>
      <c r="M76" s="485"/>
      <c r="N76" s="669" t="s">
        <v>613</v>
      </c>
      <c r="O76" s="403"/>
      <c r="P76" s="407"/>
    </row>
    <row r="77" spans="2:16" ht="15.75" customHeight="1">
      <c r="B77" s="382"/>
      <c r="C77" s="400"/>
      <c r="D77" s="595" t="s">
        <v>495</v>
      </c>
      <c r="E77" s="596"/>
      <c r="F77" s="120"/>
      <c r="G77" s="405"/>
      <c r="H77" s="409">
        <v>70000</v>
      </c>
      <c r="I77" s="409">
        <v>72100</v>
      </c>
      <c r="J77" s="409">
        <v>74263</v>
      </c>
      <c r="K77" s="409">
        <v>152981.78</v>
      </c>
      <c r="L77" s="409">
        <v>157571.23</v>
      </c>
      <c r="M77" s="485"/>
      <c r="N77" s="670"/>
      <c r="O77" s="403"/>
      <c r="P77" s="413"/>
    </row>
    <row r="78" spans="2:16" ht="15.75" customHeight="1">
      <c r="B78" s="382"/>
      <c r="C78" s="400"/>
      <c r="D78" s="595" t="s">
        <v>496</v>
      </c>
      <c r="E78" s="596"/>
      <c r="F78" s="120"/>
      <c r="G78" s="405"/>
      <c r="H78" s="409">
        <f>80000+40000</f>
        <v>120000</v>
      </c>
      <c r="I78" s="409">
        <f>80000*1.03+61800</f>
        <v>144200</v>
      </c>
      <c r="J78" s="409">
        <f>84872+42436+42436</f>
        <v>169744</v>
      </c>
      <c r="K78" s="409">
        <f>87418.16+43709.08+43709.08</f>
        <v>174836.32</v>
      </c>
      <c r="L78" s="409">
        <f>K78*1.03</f>
        <v>180081.4096</v>
      </c>
      <c r="M78" s="485"/>
      <c r="N78" s="670"/>
      <c r="O78" s="431"/>
      <c r="P78" s="413"/>
    </row>
    <row r="79" spans="2:16" ht="15.75" customHeight="1">
      <c r="B79" s="382"/>
      <c r="C79" s="400"/>
      <c r="D79" s="595" t="s">
        <v>497</v>
      </c>
      <c r="E79" s="596"/>
      <c r="F79" s="120"/>
      <c r="G79" s="405"/>
      <c r="H79" s="409">
        <v>45000</v>
      </c>
      <c r="I79" s="409">
        <f>H79*1.03</f>
        <v>46350</v>
      </c>
      <c r="J79" s="409">
        <f>I79*1.03</f>
        <v>47740.5</v>
      </c>
      <c r="K79" s="409">
        <f>J79*1.03</f>
        <v>49172.715000000004</v>
      </c>
      <c r="L79" s="409">
        <f>K79*1.03</f>
        <v>50647.89645000001</v>
      </c>
      <c r="M79" s="485"/>
      <c r="N79" s="670"/>
      <c r="O79" s="431"/>
      <c r="P79" s="424"/>
    </row>
    <row r="80" spans="2:16" ht="15.75" customHeight="1">
      <c r="B80" s="382"/>
      <c r="C80" s="400"/>
      <c r="D80" s="595" t="s">
        <v>34</v>
      </c>
      <c r="E80" s="596"/>
      <c r="F80" s="120"/>
      <c r="G80" s="405"/>
      <c r="H80" s="409">
        <v>0</v>
      </c>
      <c r="I80" s="409">
        <v>0</v>
      </c>
      <c r="J80" s="409">
        <v>0</v>
      </c>
      <c r="K80" s="409">
        <v>0</v>
      </c>
      <c r="L80" s="409">
        <v>0</v>
      </c>
      <c r="M80" s="485"/>
      <c r="N80" s="670"/>
      <c r="O80" s="403"/>
      <c r="P80" s="424"/>
    </row>
    <row r="81" spans="2:16" ht="15.75" customHeight="1">
      <c r="B81" s="382"/>
      <c r="C81" s="400"/>
      <c r="D81" s="595" t="s">
        <v>498</v>
      </c>
      <c r="E81" s="596"/>
      <c r="F81" s="120"/>
      <c r="G81" s="405"/>
      <c r="H81" s="409">
        <v>0</v>
      </c>
      <c r="I81" s="409">
        <v>0</v>
      </c>
      <c r="J81" s="409">
        <v>0</v>
      </c>
      <c r="K81" s="409">
        <v>0</v>
      </c>
      <c r="L81" s="409">
        <v>0</v>
      </c>
      <c r="M81" s="485"/>
      <c r="N81" s="670"/>
      <c r="O81" s="403"/>
      <c r="P81" s="413"/>
    </row>
    <row r="82" spans="2:16" ht="15.75" customHeight="1">
      <c r="B82" s="382"/>
      <c r="C82" s="400"/>
      <c r="D82" s="595" t="s">
        <v>499</v>
      </c>
      <c r="E82" s="596"/>
      <c r="F82" s="120"/>
      <c r="G82" s="405"/>
      <c r="H82" s="409">
        <v>60000</v>
      </c>
      <c r="I82" s="409">
        <f>H82*1.03</f>
        <v>61800</v>
      </c>
      <c r="J82" s="409">
        <f>I82*1.03</f>
        <v>63654</v>
      </c>
      <c r="K82" s="409">
        <f>J82*1.03</f>
        <v>65563.62</v>
      </c>
      <c r="L82" s="409">
        <f>K82*1.03</f>
        <v>67530.52859999999</v>
      </c>
      <c r="M82" s="485"/>
      <c r="N82" s="670"/>
      <c r="O82" s="403"/>
      <c r="P82" s="413"/>
    </row>
    <row r="83" spans="2:16" ht="15.75" customHeight="1">
      <c r="B83" s="382"/>
      <c r="C83" s="400"/>
      <c r="D83" s="595" t="s">
        <v>500</v>
      </c>
      <c r="E83" s="596"/>
      <c r="F83" s="120"/>
      <c r="G83" s="405"/>
      <c r="H83" s="409">
        <v>0</v>
      </c>
      <c r="I83" s="409">
        <v>0</v>
      </c>
      <c r="J83" s="409">
        <v>0</v>
      </c>
      <c r="K83" s="409">
        <v>0</v>
      </c>
      <c r="L83" s="409">
        <v>0</v>
      </c>
      <c r="M83" s="485"/>
      <c r="N83" s="670"/>
      <c r="O83" s="403"/>
      <c r="P83" s="413"/>
    </row>
    <row r="84" spans="2:16" ht="15.75" customHeight="1">
      <c r="B84" s="382"/>
      <c r="C84" s="400"/>
      <c r="D84" s="595" t="s">
        <v>35</v>
      </c>
      <c r="E84" s="596"/>
      <c r="F84" s="120"/>
      <c r="G84" s="405"/>
      <c r="H84" s="409">
        <v>0</v>
      </c>
      <c r="I84" s="409">
        <v>0</v>
      </c>
      <c r="J84" s="409">
        <v>0</v>
      </c>
      <c r="K84" s="409">
        <v>0</v>
      </c>
      <c r="L84" s="409">
        <v>0</v>
      </c>
      <c r="M84" s="485"/>
      <c r="N84" s="671"/>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7" t="s">
        <v>36</v>
      </c>
      <c r="E86" s="598"/>
      <c r="F86" s="121"/>
      <c r="G86" s="414"/>
      <c r="H86" s="430">
        <f>SUM(H76:H84)</f>
        <v>365000</v>
      </c>
      <c r="I86" s="430">
        <f>SUM(I76:I84)</f>
        <v>441550</v>
      </c>
      <c r="J86" s="430">
        <f>SUM(J76:J84)</f>
        <v>551668</v>
      </c>
      <c r="K86" s="430">
        <f>SUM(K76:K84)</f>
        <v>644708.925</v>
      </c>
      <c r="L86" s="430">
        <f>SUM(L76:L84)</f>
        <v>664050.20465</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7" t="s">
        <v>37</v>
      </c>
      <c r="E88" s="598"/>
      <c r="F88" s="121"/>
      <c r="G88" s="414"/>
      <c r="H88" s="415">
        <f>H65+H73+H86</f>
        <v>1158000</v>
      </c>
      <c r="I88" s="415">
        <f>I65+I73+I86</f>
        <v>1372545</v>
      </c>
      <c r="J88" s="415">
        <f>J65+J73+J86</f>
        <v>1665685.1</v>
      </c>
      <c r="K88" s="415">
        <f>K65+K73+K86</f>
        <v>1927644.685</v>
      </c>
      <c r="L88" s="415">
        <f>L65+L73+L86</f>
        <v>2283733.8746499997</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599" t="s">
        <v>445</v>
      </c>
      <c r="E90" s="600"/>
      <c r="F90" s="385"/>
      <c r="G90" s="427"/>
      <c r="H90" s="422"/>
      <c r="I90" s="422"/>
      <c r="J90" s="422"/>
      <c r="K90" s="422"/>
      <c r="L90" s="423"/>
      <c r="M90" s="386"/>
      <c r="N90" s="487" t="s">
        <v>565</v>
      </c>
      <c r="O90" s="403"/>
      <c r="P90" s="424"/>
    </row>
    <row r="91" spans="2:16" ht="15.75" customHeight="1">
      <c r="B91" s="382"/>
      <c r="C91" s="400"/>
      <c r="D91" s="595" t="s">
        <v>443</v>
      </c>
      <c r="E91" s="596"/>
      <c r="F91" s="120"/>
      <c r="G91" s="405"/>
      <c r="H91" s="406">
        <f>H88*('3. Staffing Plan'!G54+'3. Staffing Plan'!G55+'3. Staffing Plan'!G56)</f>
        <v>117537.00000000001</v>
      </c>
      <c r="I91" s="406">
        <f>I88*('3. Staffing Plan'!K54+'3. Staffing Plan'!K55+'3. Staffing Plan'!K56)</f>
        <v>139313.3175</v>
      </c>
      <c r="J91" s="406">
        <f>J88*('3. Staffing Plan'!O54+'3. Staffing Plan'!O55+'3. Staffing Plan'!O56)</f>
        <v>169067.03765</v>
      </c>
      <c r="K91" s="406">
        <f>K88*('3. Staffing Plan'!S54+'3. Staffing Plan'!S55+'3. Staffing Plan'!S56)</f>
        <v>195655.93552750003</v>
      </c>
      <c r="L91" s="406">
        <f>L88*('3. Staffing Plan'!W54+'3. Staffing Plan'!W55+'3. Staffing Plan'!W56)</f>
        <v>231798.98827697497</v>
      </c>
      <c r="M91" s="477"/>
      <c r="N91" s="669"/>
      <c r="O91" s="403"/>
      <c r="P91" s="424"/>
    </row>
    <row r="92" spans="2:16" ht="15.75" customHeight="1">
      <c r="B92" s="382"/>
      <c r="C92" s="400"/>
      <c r="D92" s="595" t="s">
        <v>442</v>
      </c>
      <c r="E92" s="596"/>
      <c r="F92" s="120"/>
      <c r="G92" s="405"/>
      <c r="H92" s="406">
        <f>'3. Staffing Plan'!L52</f>
        <v>130000</v>
      </c>
      <c r="I92" s="406">
        <f>'3. Staffing Plan'!P52</f>
        <v>147500</v>
      </c>
      <c r="J92" s="406">
        <f>'3. Staffing Plan'!T52</f>
        <v>175000</v>
      </c>
      <c r="K92" s="406">
        <f>'3. Staffing Plan'!X52</f>
        <v>195000</v>
      </c>
      <c r="L92" s="406">
        <f>'3. Staffing Plan'!AB52</f>
        <v>225000</v>
      </c>
      <c r="M92" s="477"/>
      <c r="N92" s="673"/>
      <c r="O92" s="403"/>
      <c r="P92" s="413"/>
    </row>
    <row r="93" spans="2:16" ht="15.75" customHeight="1">
      <c r="B93" s="382"/>
      <c r="C93" s="400"/>
      <c r="D93" s="595" t="s">
        <v>440</v>
      </c>
      <c r="E93" s="596"/>
      <c r="F93" s="120"/>
      <c r="G93" s="405"/>
      <c r="H93" s="406">
        <f>'3. Staffing Plan'!L53</f>
        <v>104000</v>
      </c>
      <c r="I93" s="406">
        <f>'3. Staffing Plan'!P53</f>
        <v>118000</v>
      </c>
      <c r="J93" s="406">
        <f>'3. Staffing Plan'!T53</f>
        <v>140000</v>
      </c>
      <c r="K93" s="406">
        <f>'3. Staffing Plan'!X53</f>
        <v>156000</v>
      </c>
      <c r="L93" s="406">
        <f>'3. Staffing Plan'!AB53</f>
        <v>180000</v>
      </c>
      <c r="M93" s="477"/>
      <c r="N93" s="673"/>
      <c r="O93" s="403"/>
      <c r="P93" s="413"/>
    </row>
    <row r="94" spans="2:16" ht="15.75" customHeight="1">
      <c r="B94" s="382"/>
      <c r="C94" s="400"/>
      <c r="D94" s="595" t="s">
        <v>564</v>
      </c>
      <c r="E94" s="596"/>
      <c r="F94" s="120"/>
      <c r="G94" s="405"/>
      <c r="H94" s="406">
        <f>'3. Staffing Plan'!L58</f>
        <v>0</v>
      </c>
      <c r="I94" s="406">
        <f>'3. Staffing Plan'!P58</f>
        <v>0</v>
      </c>
      <c r="J94" s="406">
        <f>'3. Staffing Plan'!T58</f>
        <v>0</v>
      </c>
      <c r="K94" s="406">
        <f>'3. Staffing Plan'!X58</f>
        <v>0</v>
      </c>
      <c r="L94" s="406">
        <f>'3. Staffing Plan'!AB58</f>
        <v>0</v>
      </c>
      <c r="M94" s="477"/>
      <c r="N94" s="673"/>
      <c r="O94" s="403"/>
      <c r="P94" s="413"/>
    </row>
    <row r="95" spans="2:16" ht="15.75" customHeight="1">
      <c r="B95" s="382"/>
      <c r="C95" s="400"/>
      <c r="D95" s="504"/>
      <c r="E95" s="505"/>
      <c r="F95" s="120"/>
      <c r="G95" s="435"/>
      <c r="H95" s="117"/>
      <c r="I95" s="117"/>
      <c r="J95" s="117"/>
      <c r="K95" s="117"/>
      <c r="L95" s="402"/>
      <c r="M95" s="386"/>
      <c r="N95" s="673"/>
      <c r="O95" s="403"/>
      <c r="P95" s="413"/>
    </row>
    <row r="96" spans="2:16" ht="15.75" customHeight="1">
      <c r="B96" s="382"/>
      <c r="C96" s="400"/>
      <c r="D96" s="597" t="s">
        <v>38</v>
      </c>
      <c r="E96" s="598"/>
      <c r="F96" s="119"/>
      <c r="G96" s="420">
        <f>'4. Budget &amp; Cash Flow (Year 0)'!S33</f>
        <v>0</v>
      </c>
      <c r="H96" s="430">
        <f>SUM(H91:H94)</f>
        <v>351537</v>
      </c>
      <c r="I96" s="430">
        <f>SUM(I91:I94)</f>
        <v>404813.3175</v>
      </c>
      <c r="J96" s="430">
        <f>SUM(J91:J94)</f>
        <v>484067.03765</v>
      </c>
      <c r="K96" s="430">
        <f>SUM(K91:K94)</f>
        <v>546655.9355275</v>
      </c>
      <c r="L96" s="430">
        <f>SUM(L91:L94)</f>
        <v>636798.988276975</v>
      </c>
      <c r="M96" s="479"/>
      <c r="N96" s="673"/>
      <c r="O96" s="403"/>
      <c r="P96" s="413"/>
    </row>
    <row r="97" spans="2:17" s="401" customFormat="1" ht="15.75" customHeight="1">
      <c r="B97" s="382"/>
      <c r="C97" s="400"/>
      <c r="D97" s="504"/>
      <c r="E97" s="505"/>
      <c r="F97" s="120"/>
      <c r="G97" s="419"/>
      <c r="H97" s="117"/>
      <c r="I97" s="117"/>
      <c r="J97" s="117"/>
      <c r="K97" s="117"/>
      <c r="L97" s="402"/>
      <c r="M97" s="386"/>
      <c r="N97" s="673"/>
      <c r="O97" s="403"/>
      <c r="P97" s="413"/>
      <c r="Q97" s="425"/>
    </row>
    <row r="98" spans="2:17" s="401" customFormat="1" ht="15.75" customHeight="1">
      <c r="B98" s="382"/>
      <c r="C98" s="400"/>
      <c r="D98" s="597" t="s">
        <v>39</v>
      </c>
      <c r="E98" s="598"/>
      <c r="F98" s="119"/>
      <c r="G98" s="420">
        <f>'4. Budget &amp; Cash Flow (Year 0)'!S35</f>
        <v>0</v>
      </c>
      <c r="H98" s="430">
        <f>H88+H96</f>
        <v>1509537</v>
      </c>
      <c r="I98" s="430">
        <f>I88+I96</f>
        <v>1777358.3175</v>
      </c>
      <c r="J98" s="430">
        <f>J88+J96</f>
        <v>2149752.13765</v>
      </c>
      <c r="K98" s="430">
        <f>K88+K96</f>
        <v>2474300.6205275003</v>
      </c>
      <c r="L98" s="430">
        <f>L88+L96</f>
        <v>2920532.862926975</v>
      </c>
      <c r="M98" s="479"/>
      <c r="N98" s="674"/>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t="str">
        <f>IF((ROUND(K98,2)=ROUND('3. Staffing Plan'!X66,2)),"","ERROR")</f>
        <v>ERROR</v>
      </c>
      <c r="L99" s="433" t="str">
        <f>IF((ROUND(L98,2)=ROUND('3. Staffing Plan'!AB66,2)),"","ERROR")</f>
        <v>ERROR</v>
      </c>
      <c r="M99" s="432"/>
      <c r="N99" s="469" t="str">
        <f>IF(COUNTIF(G99:L99,"ERROR"),"Tab 3 and Tab 5 Values do not match.","")</f>
        <v>Tab 3 and Tab 5 Values do not match.</v>
      </c>
      <c r="O99" s="403"/>
      <c r="P99" s="407"/>
    </row>
    <row r="100" spans="2:16" ht="15.75" customHeight="1">
      <c r="B100" s="382"/>
      <c r="C100" s="400"/>
      <c r="D100" s="599" t="s">
        <v>118</v>
      </c>
      <c r="E100" s="600"/>
      <c r="F100" s="385"/>
      <c r="G100" s="500"/>
      <c r="H100" s="649"/>
      <c r="I100" s="650"/>
      <c r="J100" s="650"/>
      <c r="K100" s="650"/>
      <c r="L100" s="650"/>
      <c r="M100" s="391"/>
      <c r="N100" s="387"/>
      <c r="O100" s="412"/>
      <c r="P100" s="424"/>
    </row>
    <row r="101" spans="2:16" ht="15.75" customHeight="1">
      <c r="B101" s="382"/>
      <c r="C101" s="400"/>
      <c r="D101" s="595" t="s">
        <v>3</v>
      </c>
      <c r="E101" s="596"/>
      <c r="F101" s="495"/>
      <c r="G101" s="418">
        <f>'4. Budget &amp; Cash Flow (Year 0)'!S38</f>
        <v>0</v>
      </c>
      <c r="H101" s="409">
        <v>10000</v>
      </c>
      <c r="I101" s="409">
        <f>H101*1.1</f>
        <v>11000</v>
      </c>
      <c r="J101" s="409">
        <f>I101*1.1</f>
        <v>12100.000000000002</v>
      </c>
      <c r="K101" s="409">
        <f>J101*1.1</f>
        <v>13310.000000000004</v>
      </c>
      <c r="L101" s="409">
        <f>K101*1.1</f>
        <v>14641.000000000005</v>
      </c>
      <c r="M101" s="486"/>
      <c r="N101" s="488"/>
      <c r="O101" s="403"/>
      <c r="P101" s="424"/>
    </row>
    <row r="102" spans="2:16" ht="15.75" customHeight="1">
      <c r="B102" s="382"/>
      <c r="C102" s="400"/>
      <c r="D102" s="595" t="s">
        <v>40</v>
      </c>
      <c r="E102" s="596"/>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595" t="s">
        <v>507</v>
      </c>
      <c r="E103" s="596"/>
      <c r="F103" s="495"/>
      <c r="G103" s="418">
        <f>'4. Budget &amp; Cash Flow (Year 0)'!S40</f>
        <v>0</v>
      </c>
      <c r="H103" s="409">
        <v>0</v>
      </c>
      <c r="I103" s="409">
        <v>0</v>
      </c>
      <c r="J103" s="409">
        <v>40000</v>
      </c>
      <c r="K103" s="409">
        <v>20000</v>
      </c>
      <c r="L103" s="409">
        <v>20000</v>
      </c>
      <c r="M103" s="486"/>
      <c r="N103" s="488"/>
      <c r="O103" s="403"/>
      <c r="P103" s="424"/>
    </row>
    <row r="104" spans="2:16" ht="15.75" customHeight="1">
      <c r="B104" s="382"/>
      <c r="C104" s="400"/>
      <c r="D104" s="595" t="s">
        <v>41</v>
      </c>
      <c r="E104" s="596"/>
      <c r="F104" s="495"/>
      <c r="G104" s="418">
        <f>'4. Budget &amp; Cash Flow (Year 0)'!S41</f>
        <v>0</v>
      </c>
      <c r="H104" s="409">
        <v>10000</v>
      </c>
      <c r="I104" s="409">
        <f aca="true" t="shared" si="1" ref="I104:L107">H104*1.1</f>
        <v>11000</v>
      </c>
      <c r="J104" s="409">
        <f t="shared" si="1"/>
        <v>12100.000000000002</v>
      </c>
      <c r="K104" s="409">
        <f t="shared" si="1"/>
        <v>13310.000000000004</v>
      </c>
      <c r="L104" s="409">
        <f t="shared" si="1"/>
        <v>14641.000000000005</v>
      </c>
      <c r="M104" s="486"/>
      <c r="N104" s="488" t="s">
        <v>2</v>
      </c>
      <c r="O104" s="403"/>
      <c r="P104" s="424"/>
    </row>
    <row r="105" spans="2:16" ht="15.75" customHeight="1">
      <c r="B105" s="382"/>
      <c r="C105" s="400"/>
      <c r="D105" s="595" t="s">
        <v>42</v>
      </c>
      <c r="E105" s="596"/>
      <c r="F105" s="495"/>
      <c r="G105" s="418">
        <f>'4. Budget &amp; Cash Flow (Year 0)'!S42</f>
        <v>0</v>
      </c>
      <c r="H105" s="409">
        <v>35000</v>
      </c>
      <c r="I105" s="409">
        <f t="shared" si="1"/>
        <v>38500</v>
      </c>
      <c r="J105" s="409">
        <f t="shared" si="1"/>
        <v>42350</v>
      </c>
      <c r="K105" s="409">
        <f t="shared" si="1"/>
        <v>46585.00000000001</v>
      </c>
      <c r="L105" s="409">
        <f t="shared" si="1"/>
        <v>51243.500000000015</v>
      </c>
      <c r="M105" s="486"/>
      <c r="N105" s="488"/>
      <c r="O105" s="403"/>
      <c r="P105" s="413"/>
    </row>
    <row r="106" spans="2:16" ht="15.75" customHeight="1">
      <c r="B106" s="382"/>
      <c r="C106" s="400"/>
      <c r="D106" s="595" t="s">
        <v>13</v>
      </c>
      <c r="E106" s="596"/>
      <c r="F106" s="495"/>
      <c r="G106" s="418">
        <f>'4. Budget &amp; Cash Flow (Year 0)'!S43</f>
        <v>0</v>
      </c>
      <c r="H106" s="409">
        <v>20000</v>
      </c>
      <c r="I106" s="409">
        <f t="shared" si="1"/>
        <v>22000</v>
      </c>
      <c r="J106" s="409">
        <f t="shared" si="1"/>
        <v>24200.000000000004</v>
      </c>
      <c r="K106" s="409">
        <f t="shared" si="1"/>
        <v>26620.000000000007</v>
      </c>
      <c r="L106" s="409">
        <f t="shared" si="1"/>
        <v>29282.00000000001</v>
      </c>
      <c r="M106" s="486"/>
      <c r="N106" s="488"/>
      <c r="O106" s="403"/>
      <c r="P106" s="424"/>
    </row>
    <row r="107" spans="2:16" ht="15.75" customHeight="1">
      <c r="B107" s="382"/>
      <c r="C107" s="400"/>
      <c r="D107" s="595" t="s">
        <v>508</v>
      </c>
      <c r="E107" s="596"/>
      <c r="F107" s="495"/>
      <c r="G107" s="418">
        <f>'4. Budget &amp; Cash Flow (Year 0)'!S44</f>
        <v>0</v>
      </c>
      <c r="H107" s="409">
        <v>10000</v>
      </c>
      <c r="I107" s="409">
        <f t="shared" si="1"/>
        <v>11000</v>
      </c>
      <c r="J107" s="409">
        <f t="shared" si="1"/>
        <v>12100.000000000002</v>
      </c>
      <c r="K107" s="409">
        <f t="shared" si="1"/>
        <v>13310.000000000004</v>
      </c>
      <c r="L107" s="409">
        <f t="shared" si="1"/>
        <v>14641.000000000005</v>
      </c>
      <c r="M107" s="486"/>
      <c r="N107" s="488"/>
      <c r="O107" s="403"/>
      <c r="P107" s="424"/>
    </row>
    <row r="108" spans="2:16" ht="15.75" customHeight="1">
      <c r="B108" s="382"/>
      <c r="C108" s="400"/>
      <c r="D108" s="595" t="s">
        <v>509</v>
      </c>
      <c r="E108" s="596"/>
      <c r="F108" s="495"/>
      <c r="G108" s="418">
        <f>'4. Budget &amp; Cash Flow (Year 0)'!S45</f>
        <v>0</v>
      </c>
      <c r="H108" s="409">
        <v>0</v>
      </c>
      <c r="I108" s="409">
        <v>0</v>
      </c>
      <c r="J108" s="409">
        <v>0</v>
      </c>
      <c r="K108" s="409">
        <v>0</v>
      </c>
      <c r="L108" s="409">
        <v>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7" t="s">
        <v>43</v>
      </c>
      <c r="E110" s="598"/>
      <c r="F110" s="119"/>
      <c r="G110" s="420">
        <f aca="true" t="shared" si="2" ref="G110:L110">SUM(G101:G108)</f>
        <v>0</v>
      </c>
      <c r="H110" s="430">
        <f t="shared" si="2"/>
        <v>85000</v>
      </c>
      <c r="I110" s="430">
        <f t="shared" si="2"/>
        <v>93500</v>
      </c>
      <c r="J110" s="430">
        <f t="shared" si="2"/>
        <v>142850</v>
      </c>
      <c r="K110" s="430">
        <f t="shared" si="2"/>
        <v>133135</v>
      </c>
      <c r="L110" s="430">
        <f t="shared" si="2"/>
        <v>144448.50000000006</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599" t="s">
        <v>510</v>
      </c>
      <c r="E112" s="600"/>
      <c r="F112" s="385"/>
      <c r="G112" s="500"/>
      <c r="H112" s="448"/>
      <c r="I112" s="122"/>
      <c r="J112" s="122"/>
      <c r="K112" s="122"/>
      <c r="L112" s="122"/>
      <c r="M112" s="120"/>
      <c r="N112" s="492" t="s">
        <v>566</v>
      </c>
      <c r="O112" s="412"/>
      <c r="P112" s="413"/>
      <c r="Q112" s="436"/>
    </row>
    <row r="113" spans="2:16" ht="15.75" customHeight="1">
      <c r="B113" s="382"/>
      <c r="C113" s="400"/>
      <c r="D113" s="595" t="s">
        <v>511</v>
      </c>
      <c r="E113" s="596"/>
      <c r="F113" s="495"/>
      <c r="G113" s="418">
        <f>'4. Budget &amp; Cash Flow (Year 0)'!S50</f>
        <v>0</v>
      </c>
      <c r="H113" s="409">
        <v>0</v>
      </c>
      <c r="I113" s="409">
        <v>0</v>
      </c>
      <c r="J113" s="409">
        <v>10000</v>
      </c>
      <c r="K113" s="409">
        <v>12000</v>
      </c>
      <c r="L113" s="409">
        <v>13000</v>
      </c>
      <c r="M113" s="486"/>
      <c r="N113" s="669"/>
      <c r="O113" s="403"/>
      <c r="P113" s="413"/>
    </row>
    <row r="114" spans="2:16" ht="15.75" customHeight="1">
      <c r="B114" s="382"/>
      <c r="C114" s="400"/>
      <c r="D114" s="595" t="s">
        <v>512</v>
      </c>
      <c r="E114" s="596"/>
      <c r="F114" s="495"/>
      <c r="G114" s="418">
        <f>'4. Budget &amp; Cash Flow (Year 0)'!S51</f>
        <v>0</v>
      </c>
      <c r="H114" s="409">
        <v>0</v>
      </c>
      <c r="I114" s="409">
        <v>0</v>
      </c>
      <c r="J114" s="409">
        <v>0</v>
      </c>
      <c r="K114" s="409">
        <v>0</v>
      </c>
      <c r="L114" s="409">
        <v>0</v>
      </c>
      <c r="M114" s="486"/>
      <c r="N114" s="670"/>
      <c r="O114" s="437"/>
      <c r="P114" s="413"/>
    </row>
    <row r="115" spans="2:16" ht="15.75" customHeight="1">
      <c r="B115" s="382"/>
      <c r="C115" s="400"/>
      <c r="D115" s="504"/>
      <c r="E115" s="505"/>
      <c r="F115" s="120"/>
      <c r="G115" s="419"/>
      <c r="H115" s="117"/>
      <c r="I115" s="117"/>
      <c r="J115" s="117"/>
      <c r="K115" s="117"/>
      <c r="L115" s="402"/>
      <c r="M115" s="386"/>
      <c r="N115" s="670"/>
      <c r="O115" s="403"/>
      <c r="P115" s="413"/>
    </row>
    <row r="116" spans="2:17" s="401" customFormat="1" ht="15.75" customHeight="1">
      <c r="B116" s="382"/>
      <c r="C116" s="400"/>
      <c r="D116" s="597" t="s">
        <v>513</v>
      </c>
      <c r="E116" s="598"/>
      <c r="F116" s="119"/>
      <c r="G116" s="420">
        <f aca="true" t="shared" si="3" ref="G116:L116">SUM(G113:G114)</f>
        <v>0</v>
      </c>
      <c r="H116" s="430">
        <f t="shared" si="3"/>
        <v>0</v>
      </c>
      <c r="I116" s="430">
        <f t="shared" si="3"/>
        <v>0</v>
      </c>
      <c r="J116" s="430">
        <f t="shared" si="3"/>
        <v>10000</v>
      </c>
      <c r="K116" s="430">
        <f t="shared" si="3"/>
        <v>12000</v>
      </c>
      <c r="L116" s="430">
        <f t="shared" si="3"/>
        <v>13000</v>
      </c>
      <c r="M116" s="479"/>
      <c r="N116" s="671"/>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599" t="s">
        <v>44</v>
      </c>
      <c r="E118" s="600"/>
      <c r="F118" s="385"/>
      <c r="G118" s="500"/>
      <c r="H118" s="422"/>
      <c r="I118" s="422"/>
      <c r="J118" s="422"/>
      <c r="K118" s="422"/>
      <c r="L118" s="423"/>
      <c r="M118" s="386"/>
      <c r="N118" s="491" t="s">
        <v>567</v>
      </c>
      <c r="O118" s="403"/>
      <c r="P118" s="413"/>
    </row>
    <row r="119" spans="2:16" ht="15.75" customHeight="1">
      <c r="B119" s="382"/>
      <c r="C119" s="400"/>
      <c r="D119" s="595" t="s">
        <v>4</v>
      </c>
      <c r="E119" s="596"/>
      <c r="F119" s="495"/>
      <c r="G119" s="418">
        <f>'4. Budget &amp; Cash Flow (Year 0)'!S56</f>
        <v>0</v>
      </c>
      <c r="H119" s="409">
        <v>5000</v>
      </c>
      <c r="I119" s="409">
        <v>5000</v>
      </c>
      <c r="J119" s="409">
        <v>5000</v>
      </c>
      <c r="K119" s="409">
        <v>5000</v>
      </c>
      <c r="L119" s="409">
        <v>5000</v>
      </c>
      <c r="M119" s="486"/>
      <c r="N119" s="669" t="s">
        <v>612</v>
      </c>
      <c r="O119" s="403"/>
      <c r="P119" s="413"/>
    </row>
    <row r="120" spans="2:16" ht="15.75" customHeight="1">
      <c r="B120" s="382"/>
      <c r="C120" s="400"/>
      <c r="D120" s="595" t="s">
        <v>514</v>
      </c>
      <c r="E120" s="596"/>
      <c r="F120" s="495"/>
      <c r="G120" s="418">
        <f>'4. Budget &amp; Cash Flow (Year 0)'!S57</f>
        <v>0</v>
      </c>
      <c r="H120" s="409">
        <v>3000</v>
      </c>
      <c r="I120" s="409">
        <v>3000</v>
      </c>
      <c r="J120" s="409">
        <v>3000</v>
      </c>
      <c r="K120" s="409">
        <v>3000</v>
      </c>
      <c r="L120" s="409">
        <v>3000</v>
      </c>
      <c r="M120" s="486"/>
      <c r="N120" s="670"/>
      <c r="O120" s="403"/>
      <c r="P120" s="424"/>
    </row>
    <row r="121" spans="2:16" ht="15.75" customHeight="1">
      <c r="B121" s="382"/>
      <c r="C121" s="400"/>
      <c r="D121" s="504"/>
      <c r="E121" s="505"/>
      <c r="F121" s="120"/>
      <c r="G121" s="419"/>
      <c r="H121" s="117"/>
      <c r="I121" s="117"/>
      <c r="J121" s="117"/>
      <c r="K121" s="117"/>
      <c r="L121" s="402"/>
      <c r="M121" s="386"/>
      <c r="N121" s="670"/>
      <c r="O121" s="403"/>
      <c r="P121" s="424"/>
    </row>
    <row r="122" spans="2:16" ht="15.75" customHeight="1">
      <c r="B122" s="382"/>
      <c r="C122" s="400"/>
      <c r="D122" s="597" t="s">
        <v>573</v>
      </c>
      <c r="E122" s="598"/>
      <c r="F122" s="119"/>
      <c r="G122" s="420">
        <f aca="true" t="shared" si="4" ref="G122:L122">SUM(G119:G120)</f>
        <v>0</v>
      </c>
      <c r="H122" s="430">
        <f t="shared" si="4"/>
        <v>8000</v>
      </c>
      <c r="I122" s="430">
        <f t="shared" si="4"/>
        <v>8000</v>
      </c>
      <c r="J122" s="430">
        <f t="shared" si="4"/>
        <v>8000</v>
      </c>
      <c r="K122" s="430">
        <f t="shared" si="4"/>
        <v>8000</v>
      </c>
      <c r="L122" s="430">
        <f t="shared" si="4"/>
        <v>8000</v>
      </c>
      <c r="M122" s="479"/>
      <c r="N122" s="671"/>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599" t="s">
        <v>534</v>
      </c>
      <c r="E124" s="600"/>
      <c r="F124" s="385"/>
      <c r="G124" s="500"/>
      <c r="H124" s="422"/>
      <c r="I124" s="122"/>
      <c r="J124" s="122"/>
      <c r="K124" s="122"/>
      <c r="L124" s="122"/>
      <c r="M124" s="120"/>
      <c r="N124" s="493" t="s">
        <v>568</v>
      </c>
      <c r="O124" s="438"/>
      <c r="P124" s="413"/>
    </row>
    <row r="125" spans="2:16" ht="15.75" customHeight="1">
      <c r="B125" s="382"/>
      <c r="C125" s="400"/>
      <c r="D125" s="595" t="s">
        <v>45</v>
      </c>
      <c r="E125" s="596"/>
      <c r="F125" s="495"/>
      <c r="G125" s="418">
        <f>'4. Budget &amp; Cash Flow (Year 0)'!S62</f>
        <v>0</v>
      </c>
      <c r="H125" s="409">
        <v>25000</v>
      </c>
      <c r="I125" s="409">
        <f>H125*1.02</f>
        <v>25500</v>
      </c>
      <c r="J125" s="409">
        <f aca="true" t="shared" si="5" ref="J125:L126">I125*1.02</f>
        <v>26010</v>
      </c>
      <c r="K125" s="409">
        <f t="shared" si="5"/>
        <v>26530.2</v>
      </c>
      <c r="L125" s="409">
        <f t="shared" si="5"/>
        <v>27060.804</v>
      </c>
      <c r="M125" s="485"/>
      <c r="N125" s="669" t="s">
        <v>610</v>
      </c>
      <c r="O125" s="403"/>
      <c r="P125" s="413"/>
    </row>
    <row r="126" spans="2:16" ht="15.75" customHeight="1">
      <c r="B126" s="382"/>
      <c r="C126" s="400"/>
      <c r="D126" s="595" t="s">
        <v>5</v>
      </c>
      <c r="E126" s="596"/>
      <c r="F126" s="495"/>
      <c r="G126" s="418">
        <f>'4. Budget &amp; Cash Flow (Year 0)'!S63</f>
        <v>0</v>
      </c>
      <c r="H126" s="409">
        <v>10000</v>
      </c>
      <c r="I126" s="409">
        <f>H126*1.02</f>
        <v>10200</v>
      </c>
      <c r="J126" s="409">
        <f t="shared" si="5"/>
        <v>10404</v>
      </c>
      <c r="K126" s="409">
        <f t="shared" si="5"/>
        <v>10612.08</v>
      </c>
      <c r="L126" s="409">
        <f t="shared" si="5"/>
        <v>10824.3216</v>
      </c>
      <c r="M126" s="485"/>
      <c r="N126" s="670"/>
      <c r="O126" s="403"/>
      <c r="P126" s="413"/>
    </row>
    <row r="127" spans="2:16" ht="15.75" customHeight="1">
      <c r="B127" s="382"/>
      <c r="C127" s="400"/>
      <c r="D127" s="595" t="s">
        <v>46</v>
      </c>
      <c r="E127" s="596"/>
      <c r="F127" s="495"/>
      <c r="G127" s="418">
        <f>'4. Budget &amp; Cash Flow (Year 0)'!S64</f>
        <v>0</v>
      </c>
      <c r="H127" s="409">
        <v>0</v>
      </c>
      <c r="I127" s="409">
        <v>0</v>
      </c>
      <c r="J127" s="409">
        <v>0</v>
      </c>
      <c r="K127" s="409">
        <v>0</v>
      </c>
      <c r="L127" s="409">
        <v>0</v>
      </c>
      <c r="M127" s="485"/>
      <c r="N127" s="670"/>
      <c r="O127" s="403"/>
      <c r="P127" s="413"/>
    </row>
    <row r="128" spans="2:16" ht="15.75" customHeight="1">
      <c r="B128" s="382"/>
      <c r="C128" s="400"/>
      <c r="D128" s="595" t="s">
        <v>47</v>
      </c>
      <c r="E128" s="596"/>
      <c r="F128" s="495"/>
      <c r="G128" s="418">
        <f>'4. Budget &amp; Cash Flow (Year 0)'!S65</f>
        <v>0</v>
      </c>
      <c r="H128" s="409">
        <v>0</v>
      </c>
      <c r="I128" s="409">
        <v>0</v>
      </c>
      <c r="J128" s="409">
        <v>0</v>
      </c>
      <c r="K128" s="409">
        <v>0</v>
      </c>
      <c r="L128" s="409">
        <v>0</v>
      </c>
      <c r="M128" s="485"/>
      <c r="N128" s="670"/>
      <c r="O128" s="403"/>
      <c r="P128" s="413"/>
    </row>
    <row r="129" spans="2:16" ht="15.75" customHeight="1">
      <c r="B129" s="382"/>
      <c r="C129" s="400"/>
      <c r="D129" s="595" t="s">
        <v>515</v>
      </c>
      <c r="E129" s="596"/>
      <c r="F129" s="495"/>
      <c r="G129" s="418">
        <f>'4. Budget &amp; Cash Flow (Year 0)'!S66</f>
        <v>0</v>
      </c>
      <c r="H129" s="409">
        <v>80000</v>
      </c>
      <c r="I129" s="409">
        <f aca="true" t="shared" si="6" ref="I129:L131">1.05*H129</f>
        <v>84000</v>
      </c>
      <c r="J129" s="409">
        <f t="shared" si="6"/>
        <v>88200</v>
      </c>
      <c r="K129" s="409">
        <f t="shared" si="6"/>
        <v>92610</v>
      </c>
      <c r="L129" s="409">
        <f t="shared" si="6"/>
        <v>97240.5</v>
      </c>
      <c r="M129" s="485"/>
      <c r="N129" s="670"/>
      <c r="O129" s="403"/>
      <c r="P129" s="413"/>
    </row>
    <row r="130" spans="2:16" ht="15.75" customHeight="1">
      <c r="B130" s="382"/>
      <c r="C130" s="400"/>
      <c r="D130" s="595" t="s">
        <v>516</v>
      </c>
      <c r="E130" s="596"/>
      <c r="F130" s="495"/>
      <c r="G130" s="418">
        <f>'4. Budget &amp; Cash Flow (Year 0)'!S67</f>
        <v>0</v>
      </c>
      <c r="H130" s="409">
        <v>20000</v>
      </c>
      <c r="I130" s="409">
        <f t="shared" si="6"/>
        <v>21000</v>
      </c>
      <c r="J130" s="409">
        <f t="shared" si="6"/>
        <v>22050</v>
      </c>
      <c r="K130" s="409">
        <f t="shared" si="6"/>
        <v>23152.5</v>
      </c>
      <c r="L130" s="409">
        <f t="shared" si="6"/>
        <v>24310.125</v>
      </c>
      <c r="M130" s="485"/>
      <c r="N130" s="670"/>
      <c r="O130" s="403"/>
      <c r="P130" s="413"/>
    </row>
    <row r="131" spans="2:16" ht="15.75" customHeight="1">
      <c r="B131" s="382"/>
      <c r="C131" s="400"/>
      <c r="D131" s="595" t="s">
        <v>6</v>
      </c>
      <c r="E131" s="596"/>
      <c r="F131" s="495"/>
      <c r="G131" s="418">
        <f>'4. Budget &amp; Cash Flow (Year 0)'!S68</f>
        <v>0</v>
      </c>
      <c r="H131" s="409">
        <v>5000</v>
      </c>
      <c r="I131" s="409">
        <f t="shared" si="6"/>
        <v>5250</v>
      </c>
      <c r="J131" s="409">
        <f t="shared" si="6"/>
        <v>5512.5</v>
      </c>
      <c r="K131" s="409">
        <f t="shared" si="6"/>
        <v>5788.125</v>
      </c>
      <c r="L131" s="409">
        <f t="shared" si="6"/>
        <v>6077.53125</v>
      </c>
      <c r="M131" s="485"/>
      <c r="N131" s="670"/>
      <c r="O131" s="403"/>
      <c r="P131" s="413"/>
    </row>
    <row r="132" spans="2:16" ht="15.75" customHeight="1">
      <c r="B132" s="382"/>
      <c r="C132" s="400"/>
      <c r="D132" s="595" t="s">
        <v>517</v>
      </c>
      <c r="E132" s="596"/>
      <c r="F132" s="495"/>
      <c r="G132" s="418">
        <f>'4. Budget &amp; Cash Flow (Year 0)'!S69</f>
        <v>0</v>
      </c>
      <c r="H132" s="409">
        <v>10000</v>
      </c>
      <c r="I132" s="409">
        <f>H132*1.05</f>
        <v>10500</v>
      </c>
      <c r="J132" s="409">
        <f>I132*1.05</f>
        <v>11025</v>
      </c>
      <c r="K132" s="409">
        <f>J132*1.05</f>
        <v>11576.25</v>
      </c>
      <c r="L132" s="409">
        <f>K132*1.05</f>
        <v>12155.0625</v>
      </c>
      <c r="M132" s="485"/>
      <c r="N132" s="670"/>
      <c r="O132" s="403"/>
      <c r="P132" s="413"/>
    </row>
    <row r="133" spans="2:16" ht="15.75" customHeight="1">
      <c r="B133" s="382"/>
      <c r="C133" s="400"/>
      <c r="D133" s="595" t="s">
        <v>48</v>
      </c>
      <c r="E133" s="596"/>
      <c r="F133" s="495"/>
      <c r="G133" s="418">
        <f>'4. Budget &amp; Cash Flow (Year 0)'!S70</f>
        <v>0</v>
      </c>
      <c r="H133" s="409">
        <v>50000</v>
      </c>
      <c r="I133" s="409">
        <f>H133*1.2</f>
        <v>60000</v>
      </c>
      <c r="J133" s="409">
        <f>I133*1.2</f>
        <v>72000</v>
      </c>
      <c r="K133" s="409">
        <f>J133*1.2</f>
        <v>86400</v>
      </c>
      <c r="L133" s="409">
        <f>K133*1.2</f>
        <v>103680</v>
      </c>
      <c r="M133" s="485"/>
      <c r="N133" s="670"/>
      <c r="O133" s="403"/>
      <c r="P133" s="413"/>
    </row>
    <row r="134" spans="2:16" ht="15.75" customHeight="1">
      <c r="B134" s="382"/>
      <c r="C134" s="400"/>
      <c r="D134" s="595" t="s">
        <v>518</v>
      </c>
      <c r="E134" s="596"/>
      <c r="F134" s="495"/>
      <c r="G134" s="418">
        <f>'4. Budget &amp; Cash Flow (Year 0)'!S71</f>
        <v>0</v>
      </c>
      <c r="H134" s="409">
        <v>10000</v>
      </c>
      <c r="I134" s="409">
        <f>H134*1.05</f>
        <v>10500</v>
      </c>
      <c r="J134" s="409">
        <f>I134*1.05</f>
        <v>11025</v>
      </c>
      <c r="K134" s="409">
        <f>J134*1.05</f>
        <v>11576.25</v>
      </c>
      <c r="L134" s="409">
        <f>K134*1.05</f>
        <v>12155.0625</v>
      </c>
      <c r="M134" s="485"/>
      <c r="N134" s="670"/>
      <c r="O134" s="403"/>
      <c r="P134" s="413"/>
    </row>
    <row r="135" spans="2:16" ht="15.75" customHeight="1">
      <c r="B135" s="382"/>
      <c r="C135" s="400"/>
      <c r="D135" s="595" t="s">
        <v>49</v>
      </c>
      <c r="E135" s="596"/>
      <c r="F135" s="495"/>
      <c r="G135" s="418">
        <f>'4. Budget &amp; Cash Flow (Year 0)'!S72</f>
        <v>0</v>
      </c>
      <c r="H135" s="409">
        <v>0</v>
      </c>
      <c r="I135" s="409">
        <v>0</v>
      </c>
      <c r="J135" s="409">
        <v>0</v>
      </c>
      <c r="K135" s="409">
        <v>0</v>
      </c>
      <c r="L135" s="409">
        <v>0</v>
      </c>
      <c r="M135" s="485"/>
      <c r="N135" s="670"/>
      <c r="O135" s="403"/>
      <c r="P135" s="413"/>
    </row>
    <row r="136" spans="2:16" ht="15.75" customHeight="1">
      <c r="B136" s="382"/>
      <c r="C136" s="400"/>
      <c r="D136" s="595" t="s">
        <v>519</v>
      </c>
      <c r="E136" s="596"/>
      <c r="F136" s="495"/>
      <c r="G136" s="418">
        <f>'4. Budget &amp; Cash Flow (Year 0)'!S73</f>
        <v>0</v>
      </c>
      <c r="H136" s="409">
        <v>15000</v>
      </c>
      <c r="I136" s="409">
        <f>H136*1.13</f>
        <v>16950</v>
      </c>
      <c r="J136" s="409">
        <f>I136*1.13</f>
        <v>19153.5</v>
      </c>
      <c r="K136" s="409">
        <f>J136*1.13</f>
        <v>21643.454999999998</v>
      </c>
      <c r="L136" s="409">
        <f>K136*1.13</f>
        <v>24457.104149999996</v>
      </c>
      <c r="M136" s="485"/>
      <c r="N136" s="670"/>
      <c r="O136" s="403"/>
      <c r="P136" s="413"/>
    </row>
    <row r="137" spans="2:16" ht="15.75" customHeight="1">
      <c r="B137" s="382"/>
      <c r="C137" s="400"/>
      <c r="D137" s="595" t="s">
        <v>520</v>
      </c>
      <c r="E137" s="596"/>
      <c r="F137" s="495"/>
      <c r="G137" s="418">
        <f>'4. Budget &amp; Cash Flow (Year 0)'!S74</f>
        <v>0</v>
      </c>
      <c r="H137" s="409">
        <v>25000</v>
      </c>
      <c r="I137" s="409">
        <f>H137*1.03</f>
        <v>25750</v>
      </c>
      <c r="J137" s="409">
        <f>I137*1.03</f>
        <v>26522.5</v>
      </c>
      <c r="K137" s="409">
        <f>J137*1.03</f>
        <v>27318.175</v>
      </c>
      <c r="L137" s="409">
        <f>K137*1.03</f>
        <v>28137.72025</v>
      </c>
      <c r="M137" s="485"/>
      <c r="N137" s="670"/>
      <c r="O137" s="403"/>
      <c r="P137" s="413"/>
    </row>
    <row r="138" spans="2:16" ht="15.75" customHeight="1">
      <c r="B138" s="382"/>
      <c r="C138" s="400"/>
      <c r="D138" s="595" t="s">
        <v>521</v>
      </c>
      <c r="E138" s="596"/>
      <c r="F138" s="495"/>
      <c r="G138" s="418">
        <f>'4. Budget &amp; Cash Flow (Year 0)'!S75</f>
        <v>0</v>
      </c>
      <c r="H138" s="409">
        <v>40000</v>
      </c>
      <c r="I138" s="409">
        <f>H138*1.15</f>
        <v>46000</v>
      </c>
      <c r="J138" s="409">
        <f>I138*1.15</f>
        <v>52899.99999999999</v>
      </c>
      <c r="K138" s="409">
        <f>J138*1.15</f>
        <v>60834.999999999985</v>
      </c>
      <c r="L138" s="409">
        <f>K138*1.15</f>
        <v>69960.24999999997</v>
      </c>
      <c r="M138" s="485"/>
      <c r="N138" s="671"/>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7" t="s">
        <v>522</v>
      </c>
      <c r="E140" s="598"/>
      <c r="F140" s="119"/>
      <c r="G140" s="420">
        <f aca="true" t="shared" si="7" ref="G140:L140">SUM(G125:G138)</f>
        <v>0</v>
      </c>
      <c r="H140" s="430">
        <f t="shared" si="7"/>
        <v>290000</v>
      </c>
      <c r="I140" s="430">
        <f t="shared" si="7"/>
        <v>315650</v>
      </c>
      <c r="J140" s="430">
        <f t="shared" si="7"/>
        <v>344802.5</v>
      </c>
      <c r="K140" s="430">
        <f t="shared" si="7"/>
        <v>378042.03500000003</v>
      </c>
      <c r="L140" s="430">
        <f t="shared" si="7"/>
        <v>416058.48124999995</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599" t="s">
        <v>535</v>
      </c>
      <c r="E142" s="600"/>
      <c r="F142" s="385"/>
      <c r="G142" s="500"/>
      <c r="H142" s="442"/>
      <c r="I142" s="443"/>
      <c r="J142" s="443"/>
      <c r="K142" s="443"/>
      <c r="L142" s="443"/>
      <c r="M142" s="391"/>
      <c r="N142" s="494" t="s">
        <v>585</v>
      </c>
      <c r="O142" s="438"/>
      <c r="P142" s="388"/>
    </row>
    <row r="143" spans="2:16" ht="15.75" customHeight="1">
      <c r="B143" s="382"/>
      <c r="C143" s="400"/>
      <c r="D143" s="595" t="s">
        <v>524</v>
      </c>
      <c r="E143" s="596"/>
      <c r="F143" s="495"/>
      <c r="G143" s="418">
        <f>'4. Budget &amp; Cash Flow (Year 0)'!S80</f>
        <v>0</v>
      </c>
      <c r="H143" s="409">
        <v>55000</v>
      </c>
      <c r="I143" s="409">
        <f>H143</f>
        <v>55000</v>
      </c>
      <c r="J143" s="409">
        <f>I143*1.03</f>
        <v>56650</v>
      </c>
      <c r="K143" s="409">
        <f>J143*1.03</f>
        <v>58349.5</v>
      </c>
      <c r="L143" s="409">
        <f>K143*1.03</f>
        <v>60099.985</v>
      </c>
      <c r="M143" s="485"/>
      <c r="N143" s="669" t="s">
        <v>614</v>
      </c>
      <c r="O143" s="403"/>
      <c r="P143" s="388"/>
    </row>
    <row r="144" spans="2:16" ht="15.75" customHeight="1">
      <c r="B144" s="382"/>
      <c r="C144" s="400"/>
      <c r="D144" s="595" t="s">
        <v>523</v>
      </c>
      <c r="E144" s="596"/>
      <c r="F144" s="495"/>
      <c r="G144" s="418">
        <f>'4. Budget &amp; Cash Flow (Year 0)'!S81</f>
        <v>0</v>
      </c>
      <c r="H144" s="409">
        <v>0</v>
      </c>
      <c r="I144" s="409">
        <v>0</v>
      </c>
      <c r="J144" s="409">
        <v>50000</v>
      </c>
      <c r="K144" s="409">
        <v>30000</v>
      </c>
      <c r="L144" s="409">
        <v>20000</v>
      </c>
      <c r="M144" s="485"/>
      <c r="N144" s="670"/>
      <c r="O144" s="411"/>
      <c r="P144" s="388"/>
    </row>
    <row r="145" spans="2:16" ht="15.75" customHeight="1">
      <c r="B145" s="382"/>
      <c r="C145" s="400"/>
      <c r="D145" s="504" t="s">
        <v>526</v>
      </c>
      <c r="E145" s="505"/>
      <c r="F145" s="495"/>
      <c r="G145" s="418">
        <f>'4. Budget &amp; Cash Flow (Year 0)'!S82</f>
        <v>0</v>
      </c>
      <c r="H145" s="409">
        <v>0</v>
      </c>
      <c r="I145" s="409">
        <v>0</v>
      </c>
      <c r="J145" s="409">
        <v>0</v>
      </c>
      <c r="K145" s="409">
        <v>0</v>
      </c>
      <c r="L145" s="409">
        <v>0</v>
      </c>
      <c r="M145" s="485"/>
      <c r="N145" s="670"/>
      <c r="O145" s="411"/>
      <c r="P145" s="388"/>
    </row>
    <row r="146" spans="2:16" ht="15.75" customHeight="1">
      <c r="B146" s="382"/>
      <c r="C146" s="400"/>
      <c r="D146" s="504" t="s">
        <v>525</v>
      </c>
      <c r="E146" s="505"/>
      <c r="F146" s="495"/>
      <c r="G146" s="418">
        <f>'4. Budget &amp; Cash Flow (Year 0)'!S83</f>
        <v>0</v>
      </c>
      <c r="H146" s="409">
        <v>30000</v>
      </c>
      <c r="I146" s="409">
        <f>H146*1.05</f>
        <v>31500</v>
      </c>
      <c r="J146" s="409">
        <f>I146*1.05</f>
        <v>33075</v>
      </c>
      <c r="K146" s="409">
        <f>J146*1.05</f>
        <v>34728.75</v>
      </c>
      <c r="L146" s="409">
        <f>K146*1.05</f>
        <v>36465.1875</v>
      </c>
      <c r="M146" s="485"/>
      <c r="N146" s="670"/>
      <c r="O146" s="411"/>
      <c r="P146" s="388"/>
    </row>
    <row r="147" spans="2:16" ht="15.75" customHeight="1">
      <c r="B147" s="382"/>
      <c r="C147" s="400"/>
      <c r="D147" s="504" t="s">
        <v>527</v>
      </c>
      <c r="E147" s="505"/>
      <c r="F147" s="495"/>
      <c r="G147" s="418">
        <f>'4. Budget &amp; Cash Flow (Year 0)'!S84</f>
        <v>0</v>
      </c>
      <c r="H147" s="409">
        <v>0</v>
      </c>
      <c r="I147" s="409">
        <v>0</v>
      </c>
      <c r="J147" s="409">
        <v>0</v>
      </c>
      <c r="K147" s="409">
        <v>0</v>
      </c>
      <c r="L147" s="409">
        <v>0</v>
      </c>
      <c r="M147" s="485"/>
      <c r="N147" s="670"/>
      <c r="O147" s="411"/>
      <c r="P147" s="388"/>
    </row>
    <row r="148" spans="2:16" ht="15.75" customHeight="1">
      <c r="B148" s="382"/>
      <c r="C148" s="400"/>
      <c r="D148" s="504" t="s">
        <v>528</v>
      </c>
      <c r="E148" s="505"/>
      <c r="F148" s="495"/>
      <c r="G148" s="418">
        <f>'4. Budget &amp; Cash Flow (Year 0)'!S85</f>
        <v>0</v>
      </c>
      <c r="H148" s="409">
        <v>0</v>
      </c>
      <c r="I148" s="409">
        <v>0</v>
      </c>
      <c r="J148" s="409">
        <v>0</v>
      </c>
      <c r="K148" s="409">
        <v>0</v>
      </c>
      <c r="L148" s="409">
        <v>0</v>
      </c>
      <c r="M148" s="485"/>
      <c r="N148" s="670"/>
      <c r="O148" s="411"/>
      <c r="P148" s="388"/>
    </row>
    <row r="149" spans="2:16" ht="15.75" customHeight="1">
      <c r="B149" s="382"/>
      <c r="C149" s="400"/>
      <c r="D149" s="504" t="s">
        <v>54</v>
      </c>
      <c r="E149" s="505"/>
      <c r="F149" s="495"/>
      <c r="G149" s="418">
        <f>'4. Budget &amp; Cash Flow (Year 0)'!S86</f>
        <v>0</v>
      </c>
      <c r="H149" s="409">
        <v>20000</v>
      </c>
      <c r="I149" s="409">
        <f aca="true" t="shared" si="8" ref="I149:L150">H149*1.05</f>
        <v>21000</v>
      </c>
      <c r="J149" s="409">
        <f t="shared" si="8"/>
        <v>22050</v>
      </c>
      <c r="K149" s="409">
        <f t="shared" si="8"/>
        <v>23152.5</v>
      </c>
      <c r="L149" s="409">
        <f t="shared" si="8"/>
        <v>24310.125</v>
      </c>
      <c r="M149" s="485"/>
      <c r="N149" s="670"/>
      <c r="O149" s="411"/>
      <c r="P149" s="388"/>
    </row>
    <row r="150" spans="2:16" ht="15.75" customHeight="1">
      <c r="B150" s="382"/>
      <c r="C150" s="400"/>
      <c r="D150" s="504" t="s">
        <v>529</v>
      </c>
      <c r="E150" s="505"/>
      <c r="F150" s="495"/>
      <c r="G150" s="418">
        <f>'4. Budget &amp; Cash Flow (Year 0)'!S87</f>
        <v>0</v>
      </c>
      <c r="H150" s="409">
        <v>30000</v>
      </c>
      <c r="I150" s="409">
        <f t="shared" si="8"/>
        <v>31500</v>
      </c>
      <c r="J150" s="409">
        <f t="shared" si="8"/>
        <v>33075</v>
      </c>
      <c r="K150" s="409">
        <f t="shared" si="8"/>
        <v>34728.75</v>
      </c>
      <c r="L150" s="409">
        <f t="shared" si="8"/>
        <v>36465.1875</v>
      </c>
      <c r="M150" s="485"/>
      <c r="N150" s="670"/>
      <c r="O150" s="411"/>
      <c r="P150" s="388"/>
    </row>
    <row r="151" spans="2:16" ht="15.75" customHeight="1">
      <c r="B151" s="382"/>
      <c r="C151" s="400"/>
      <c r="D151" s="504" t="s">
        <v>530</v>
      </c>
      <c r="E151" s="505"/>
      <c r="F151" s="495"/>
      <c r="G151" s="418">
        <f>'4. Budget &amp; Cash Flow (Year 0)'!S88</f>
        <v>0</v>
      </c>
      <c r="H151" s="409">
        <v>10000</v>
      </c>
      <c r="I151" s="409">
        <v>10000</v>
      </c>
      <c r="J151" s="409">
        <v>10000</v>
      </c>
      <c r="K151" s="409">
        <v>10000</v>
      </c>
      <c r="L151" s="409">
        <v>10000</v>
      </c>
      <c r="M151" s="485"/>
      <c r="N151" s="670"/>
      <c r="O151" s="411"/>
      <c r="P151" s="388"/>
    </row>
    <row r="152" spans="2:16" ht="15.75" customHeight="1">
      <c r="B152" s="382"/>
      <c r="C152" s="400"/>
      <c r="D152" s="595" t="s">
        <v>531</v>
      </c>
      <c r="E152" s="596"/>
      <c r="F152" s="495"/>
      <c r="G152" s="418">
        <f>'4. Budget &amp; Cash Flow (Year 0)'!S89</f>
        <v>0</v>
      </c>
      <c r="H152" s="409">
        <v>60000</v>
      </c>
      <c r="I152" s="409">
        <f>H152*1.05</f>
        <v>63000</v>
      </c>
      <c r="J152" s="409">
        <f>I152*1.05</f>
        <v>66150</v>
      </c>
      <c r="K152" s="409">
        <f>J152*1.05</f>
        <v>69457.5</v>
      </c>
      <c r="L152" s="409">
        <f>K152*1.05</f>
        <v>72930.375</v>
      </c>
      <c r="M152" s="485"/>
      <c r="N152" s="670"/>
      <c r="O152" s="411"/>
      <c r="P152" s="388"/>
    </row>
    <row r="153" spans="2:16" ht="15.75" customHeight="1">
      <c r="B153" s="382"/>
      <c r="C153" s="400"/>
      <c r="D153" s="595" t="s">
        <v>50</v>
      </c>
      <c r="E153" s="596"/>
      <c r="F153" s="495"/>
      <c r="G153" s="418">
        <f>'4. Budget &amp; Cash Flow (Year 0)'!S90</f>
        <v>0</v>
      </c>
      <c r="H153" s="409">
        <v>15000</v>
      </c>
      <c r="I153" s="409">
        <f aca="true" t="shared" si="9" ref="I153:L156">H153*1.03</f>
        <v>15450</v>
      </c>
      <c r="J153" s="409">
        <f t="shared" si="9"/>
        <v>15913.5</v>
      </c>
      <c r="K153" s="409">
        <f t="shared" si="9"/>
        <v>16390.905</v>
      </c>
      <c r="L153" s="409">
        <f t="shared" si="9"/>
        <v>16882.632149999998</v>
      </c>
      <c r="M153" s="485"/>
      <c r="N153" s="670"/>
      <c r="O153" s="411"/>
      <c r="P153" s="388"/>
    </row>
    <row r="154" spans="2:16" ht="15.75" customHeight="1">
      <c r="B154" s="382"/>
      <c r="C154" s="400"/>
      <c r="D154" s="595" t="s">
        <v>532</v>
      </c>
      <c r="E154" s="596"/>
      <c r="F154" s="495"/>
      <c r="G154" s="418">
        <f>'4. Budget &amp; Cash Flow (Year 0)'!S91</f>
        <v>0</v>
      </c>
      <c r="H154" s="409">
        <v>10000</v>
      </c>
      <c r="I154" s="409">
        <f t="shared" si="9"/>
        <v>10300</v>
      </c>
      <c r="J154" s="409">
        <f t="shared" si="9"/>
        <v>10609</v>
      </c>
      <c r="K154" s="409">
        <f t="shared" si="9"/>
        <v>10927.27</v>
      </c>
      <c r="L154" s="409">
        <f t="shared" si="9"/>
        <v>11255.0881</v>
      </c>
      <c r="M154" s="485"/>
      <c r="N154" s="670"/>
      <c r="O154" s="411"/>
      <c r="P154" s="388"/>
    </row>
    <row r="155" spans="2:16" ht="15.75" customHeight="1">
      <c r="B155" s="382"/>
      <c r="C155" s="400"/>
      <c r="D155" s="595" t="s">
        <v>533</v>
      </c>
      <c r="E155" s="596"/>
      <c r="F155" s="495"/>
      <c r="G155" s="418">
        <f>'4. Budget &amp; Cash Flow (Year 0)'!S92</f>
        <v>0</v>
      </c>
      <c r="H155" s="409">
        <v>15000</v>
      </c>
      <c r="I155" s="409">
        <f t="shared" si="9"/>
        <v>15450</v>
      </c>
      <c r="J155" s="409">
        <f t="shared" si="9"/>
        <v>15913.5</v>
      </c>
      <c r="K155" s="409">
        <f t="shared" si="9"/>
        <v>16390.905</v>
      </c>
      <c r="L155" s="409">
        <f t="shared" si="9"/>
        <v>16882.632149999998</v>
      </c>
      <c r="M155" s="485"/>
      <c r="N155" s="670"/>
      <c r="O155" s="411"/>
      <c r="P155" s="388"/>
    </row>
    <row r="156" spans="2:16" ht="15.75" customHeight="1">
      <c r="B156" s="382"/>
      <c r="C156" s="400"/>
      <c r="D156" s="595" t="s">
        <v>51</v>
      </c>
      <c r="E156" s="596"/>
      <c r="F156" s="495"/>
      <c r="G156" s="418">
        <f>'4. Budget &amp; Cash Flow (Year 0)'!S93</f>
        <v>0</v>
      </c>
      <c r="H156" s="409">
        <v>7000</v>
      </c>
      <c r="I156" s="409">
        <f t="shared" si="9"/>
        <v>7210</v>
      </c>
      <c r="J156" s="409">
        <f t="shared" si="9"/>
        <v>7426.3</v>
      </c>
      <c r="K156" s="409">
        <f t="shared" si="9"/>
        <v>7649.089</v>
      </c>
      <c r="L156" s="409">
        <f t="shared" si="9"/>
        <v>7878.56167</v>
      </c>
      <c r="M156" s="485"/>
      <c r="N156" s="670"/>
      <c r="O156" s="411"/>
      <c r="P156" s="388"/>
    </row>
    <row r="157" spans="2:16" ht="15.75" customHeight="1">
      <c r="B157" s="382"/>
      <c r="C157" s="400"/>
      <c r="D157" s="595" t="s">
        <v>536</v>
      </c>
      <c r="E157" s="596"/>
      <c r="F157" s="495"/>
      <c r="G157" s="418">
        <f>'4. Budget &amp; Cash Flow (Year 0)'!S94</f>
        <v>0</v>
      </c>
      <c r="H157" s="409">
        <v>20000</v>
      </c>
      <c r="I157" s="409">
        <f>H157*1.05</f>
        <v>21000</v>
      </c>
      <c r="J157" s="409">
        <f>I157*1.05</f>
        <v>22050</v>
      </c>
      <c r="K157" s="409">
        <f>J157*1.05</f>
        <v>23152.5</v>
      </c>
      <c r="L157" s="409">
        <f>K157*1.05</f>
        <v>24310.125</v>
      </c>
      <c r="M157" s="485"/>
      <c r="N157" s="670"/>
      <c r="O157" s="411"/>
      <c r="P157" s="388"/>
    </row>
    <row r="158" spans="2:16" ht="15.75" customHeight="1">
      <c r="B158" s="382"/>
      <c r="C158" s="400"/>
      <c r="D158" s="595" t="s">
        <v>537</v>
      </c>
      <c r="E158" s="596"/>
      <c r="F158" s="495"/>
      <c r="G158" s="418">
        <f>'4. Budget &amp; Cash Flow (Year 0)'!S95</f>
        <v>0</v>
      </c>
      <c r="H158" s="409">
        <v>0</v>
      </c>
      <c r="I158" s="409">
        <v>0</v>
      </c>
      <c r="J158" s="409">
        <v>0</v>
      </c>
      <c r="K158" s="409">
        <v>0</v>
      </c>
      <c r="L158" s="409">
        <v>0</v>
      </c>
      <c r="M158" s="485"/>
      <c r="N158" s="671"/>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7" t="s">
        <v>52</v>
      </c>
      <c r="E160" s="598"/>
      <c r="F160" s="119"/>
      <c r="G160" s="420">
        <f aca="true" t="shared" si="10" ref="G160:L160">SUM(G143:G158)</f>
        <v>0</v>
      </c>
      <c r="H160" s="430">
        <f t="shared" si="10"/>
        <v>272000</v>
      </c>
      <c r="I160" s="430">
        <f t="shared" si="10"/>
        <v>281410</v>
      </c>
      <c r="J160" s="430">
        <f t="shared" si="10"/>
        <v>342912.3</v>
      </c>
      <c r="K160" s="430">
        <f t="shared" si="10"/>
        <v>334927.66900000005</v>
      </c>
      <c r="L160" s="430">
        <f t="shared" si="10"/>
        <v>337479.89907000004</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599" t="s">
        <v>117</v>
      </c>
      <c r="E162" s="600"/>
      <c r="F162" s="385"/>
      <c r="G162" s="427"/>
      <c r="H162" s="422"/>
      <c r="I162" s="422"/>
      <c r="J162" s="422"/>
      <c r="K162" s="422"/>
      <c r="L162" s="423"/>
      <c r="M162" s="386"/>
      <c r="N162" s="17" t="s">
        <v>569</v>
      </c>
      <c r="O162" s="411"/>
      <c r="P162" s="388"/>
    </row>
    <row r="163" spans="2:16" ht="15.75" customHeight="1">
      <c r="B163" s="382"/>
      <c r="C163" s="400"/>
      <c r="D163" s="639" t="s">
        <v>539</v>
      </c>
      <c r="E163" s="596"/>
      <c r="F163" s="120"/>
      <c r="G163" s="499"/>
      <c r="H163" s="406">
        <f>IF('2. Enrollment Projections'!E33&gt;0,'2. Enrollment Projections'!E43*0.0025,('2. Enrollment Projections'!E41*0.0025)-(('2. Enrollment Projections'!E33*((VLOOKUP('1. Instructions'!$E$8,CONTROL!$C$17:$G$306,2,FALSE))*CONTROL!J19)*0.0025)))</f>
        <v>2025</v>
      </c>
      <c r="I163" s="406">
        <f>IF('2. Enrollment Projections'!F33&gt;0,'2. Enrollment Projections'!F43*0.005,('2. Enrollment Projections'!F41*0.005)-(('2. Enrollment Projections'!F33*((VLOOKUP('1. Instructions'!$E$8,CONTROL!$C$17:$G$306,2,FALSE))*CONTROL!K19)*0.005)))</f>
        <v>4725</v>
      </c>
      <c r="J163" s="406">
        <f>IF('2. Enrollment Projections'!G33&gt;0,'2. Enrollment Projections'!G43*0.005,('2. Enrollment Projections'!G41*0.005)-(('2. Enrollment Projections'!G33*((VLOOKUP('1. Instructions'!$E$8,CONTROL!$C$17:$G$306,2,FALSE))*CONTROL!K19)*0.005)))</f>
        <v>5400</v>
      </c>
      <c r="K163" s="406">
        <f>IF('2. Enrollment Projections'!H33&gt;0,'2. Enrollment Projections'!H43*0.005,('2. Enrollment Projections'!H41*0.005)-(('2. Enrollment Projections'!H33*((VLOOKUP('1. Instructions'!$E$8,CONTROL!$C$17:$G$306,2,FALSE))*CONTROL!K19)*0.005)))</f>
        <v>6075</v>
      </c>
      <c r="L163" s="406">
        <f>IF('2. Enrollment Projections'!I33&gt;0,'2. Enrollment Projections'!I43*0.005,('2. Enrollment Projections'!I41*0.005)-(('2. Enrollment Projections'!I33*((VLOOKUP('1. Instructions'!$E$8,CONTROL!$C$17:$G$306,2,FALSE))*CONTROL!K19)*0.005)))</f>
        <v>6750</v>
      </c>
      <c r="M163" s="477"/>
      <c r="N163" s="672" t="s">
        <v>611</v>
      </c>
      <c r="O163" s="403"/>
      <c r="P163" s="388"/>
    </row>
    <row r="164" spans="2:16" ht="15.75" customHeight="1">
      <c r="B164" s="382"/>
      <c r="C164" s="400"/>
      <c r="D164" s="639" t="s">
        <v>540</v>
      </c>
      <c r="E164" s="640"/>
      <c r="F164" s="438"/>
      <c r="G164" s="418">
        <f>'4. Budget &amp; Cash Flow (Year 0)'!S100</f>
        <v>0</v>
      </c>
      <c r="H164" s="409">
        <f>0.1*2056675</f>
        <v>205667.5</v>
      </c>
      <c r="I164" s="409">
        <f>0.1*2530000</f>
        <v>253000</v>
      </c>
      <c r="J164" s="409">
        <f>0.1*3000000</f>
        <v>300000</v>
      </c>
      <c r="K164" s="409">
        <f>3378000*0.1</f>
        <v>337800</v>
      </c>
      <c r="L164" s="409">
        <f>3900000*0.1</f>
        <v>390000</v>
      </c>
      <c r="M164" s="486"/>
      <c r="N164" s="673"/>
      <c r="O164" s="403"/>
      <c r="P164" s="388"/>
    </row>
    <row r="165" spans="2:16" ht="15.75" customHeight="1">
      <c r="B165" s="382"/>
      <c r="C165" s="400"/>
      <c r="D165" s="595" t="s">
        <v>53</v>
      </c>
      <c r="E165" s="596"/>
      <c r="F165" s="495"/>
      <c r="G165" s="418">
        <f>'4. Budget &amp; Cash Flow (Year 0)'!S101</f>
        <v>0</v>
      </c>
      <c r="H165" s="409">
        <v>1000</v>
      </c>
      <c r="I165" s="409">
        <f>H165</f>
        <v>1000</v>
      </c>
      <c r="J165" s="409">
        <f>I165</f>
        <v>1000</v>
      </c>
      <c r="K165" s="409">
        <f>J165</f>
        <v>1000</v>
      </c>
      <c r="L165" s="409">
        <f>K165</f>
        <v>1000</v>
      </c>
      <c r="M165" s="486"/>
      <c r="N165" s="673"/>
      <c r="O165" s="403"/>
      <c r="P165" s="388"/>
    </row>
    <row r="166" spans="2:16" ht="15.75" customHeight="1">
      <c r="B166" s="382"/>
      <c r="C166" s="400"/>
      <c r="D166" s="595" t="s">
        <v>541</v>
      </c>
      <c r="E166" s="596"/>
      <c r="F166" s="120"/>
      <c r="G166" s="418"/>
      <c r="H166" s="409">
        <v>0</v>
      </c>
      <c r="I166" s="409">
        <v>0</v>
      </c>
      <c r="J166" s="409">
        <v>0</v>
      </c>
      <c r="K166" s="409">
        <v>0</v>
      </c>
      <c r="L166" s="409">
        <v>0</v>
      </c>
      <c r="M166" s="486"/>
      <c r="N166" s="673"/>
      <c r="O166" s="411"/>
      <c r="P166" s="388"/>
    </row>
    <row r="167" spans="2:16" ht="15.75" customHeight="1">
      <c r="B167" s="382"/>
      <c r="C167" s="400"/>
      <c r="D167" s="639" t="s">
        <v>538</v>
      </c>
      <c r="E167" s="640"/>
      <c r="F167" s="438"/>
      <c r="G167" s="418">
        <f>'4. Budget &amp; Cash Flow (Year 0)'!S102</f>
        <v>0</v>
      </c>
      <c r="H167" s="409"/>
      <c r="I167" s="409">
        <v>0</v>
      </c>
      <c r="J167" s="409">
        <v>0</v>
      </c>
      <c r="K167" s="409">
        <v>0</v>
      </c>
      <c r="L167" s="409">
        <v>0</v>
      </c>
      <c r="M167" s="486"/>
      <c r="N167" s="674"/>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7" t="s">
        <v>55</v>
      </c>
      <c r="E169" s="598"/>
      <c r="F169" s="119"/>
      <c r="G169" s="430">
        <f aca="true" t="shared" si="11" ref="G169:L169">SUM(G163:G167)</f>
        <v>0</v>
      </c>
      <c r="H169" s="430">
        <f t="shared" si="11"/>
        <v>208692.5</v>
      </c>
      <c r="I169" s="430">
        <f t="shared" si="11"/>
        <v>258725</v>
      </c>
      <c r="J169" s="430">
        <f t="shared" si="11"/>
        <v>306400</v>
      </c>
      <c r="K169" s="430">
        <f t="shared" si="11"/>
        <v>344875</v>
      </c>
      <c r="L169" s="430">
        <f t="shared" si="11"/>
        <v>397750</v>
      </c>
      <c r="M169" s="480"/>
      <c r="N169" s="467"/>
      <c r="O169" s="411"/>
      <c r="P169" s="388"/>
      <c r="Q169" s="444"/>
    </row>
    <row r="170" spans="2:16" ht="15.75" customHeight="1">
      <c r="B170" s="382"/>
      <c r="C170" s="400"/>
      <c r="D170" s="595"/>
      <c r="E170" s="596"/>
      <c r="F170" s="120"/>
      <c r="G170" s="419"/>
      <c r="H170" s="117"/>
      <c r="I170" s="117"/>
      <c r="J170" s="117"/>
      <c r="K170" s="117"/>
      <c r="L170" s="402"/>
      <c r="M170" s="386"/>
      <c r="N170" s="467"/>
      <c r="O170" s="411"/>
      <c r="P170" s="388"/>
    </row>
    <row r="171" spans="2:16" ht="15.75" customHeight="1">
      <c r="B171" s="382"/>
      <c r="C171" s="400"/>
      <c r="D171" s="601" t="s">
        <v>56</v>
      </c>
      <c r="E171" s="602"/>
      <c r="F171" s="119"/>
      <c r="G171" s="415">
        <f aca="true" t="shared" si="12" ref="G171:L171">G98+G110+G116+G122+G140+G160+G169</f>
        <v>0</v>
      </c>
      <c r="H171" s="415">
        <f t="shared" si="12"/>
        <v>2373229.5</v>
      </c>
      <c r="I171" s="415">
        <f t="shared" si="12"/>
        <v>2734643.3175</v>
      </c>
      <c r="J171" s="415">
        <f t="shared" si="12"/>
        <v>3304716.9376499997</v>
      </c>
      <c r="K171" s="415">
        <f t="shared" si="12"/>
        <v>3685280.3245275007</v>
      </c>
      <c r="L171" s="415">
        <f t="shared" si="12"/>
        <v>4237269.743246975</v>
      </c>
      <c r="M171" s="481"/>
      <c r="N171" s="467"/>
      <c r="O171" s="411"/>
      <c r="P171" s="388"/>
    </row>
    <row r="172" spans="2:16" ht="15.75" customHeight="1">
      <c r="B172" s="382"/>
      <c r="C172" s="400"/>
      <c r="D172" s="647"/>
      <c r="E172" s="648"/>
      <c r="F172" s="120"/>
      <c r="G172" s="419"/>
      <c r="H172" s="117"/>
      <c r="I172" s="117"/>
      <c r="J172" s="117"/>
      <c r="K172" s="117"/>
      <c r="L172" s="402"/>
      <c r="M172" s="386"/>
      <c r="N172" s="467"/>
      <c r="O172" s="411"/>
      <c r="P172" s="388"/>
    </row>
    <row r="173" spans="2:16" ht="15.75" customHeight="1" thickBot="1">
      <c r="B173" s="382"/>
      <c r="C173" s="400"/>
      <c r="D173" s="641" t="s">
        <v>570</v>
      </c>
      <c r="E173" s="642"/>
      <c r="F173" s="119"/>
      <c r="G173" s="430">
        <f aca="true" t="shared" si="13" ref="G173:L173">G54-G171</f>
        <v>0</v>
      </c>
      <c r="H173" s="430">
        <f t="shared" si="13"/>
        <v>16277.5</v>
      </c>
      <c r="I173" s="430">
        <f t="shared" si="13"/>
        <v>162822.6825000001</v>
      </c>
      <c r="J173" s="430">
        <f t="shared" si="13"/>
        <v>136896.06235000025</v>
      </c>
      <c r="K173" s="430">
        <f t="shared" si="13"/>
        <v>227778.67547249934</v>
      </c>
      <c r="L173" s="430">
        <f t="shared" si="13"/>
        <v>299763.156753025</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62"/>
      <c r="U176" s="662"/>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45" t="s">
        <v>542</v>
      </c>
      <c r="E177" s="668"/>
      <c r="F177" s="668"/>
      <c r="G177" s="668"/>
      <c r="H177" s="668"/>
      <c r="I177" s="668"/>
      <c r="J177" s="668"/>
      <c r="K177" s="668"/>
      <c r="L177" s="668"/>
      <c r="M177" s="668"/>
      <c r="N177" s="668"/>
      <c r="O177" s="471"/>
      <c r="P177" s="472"/>
      <c r="Q177" s="526"/>
      <c r="T177" s="455"/>
      <c r="U177" s="401"/>
    </row>
    <row r="178" spans="2:21" ht="24.75" customHeight="1">
      <c r="B178" s="382"/>
      <c r="C178" s="383"/>
      <c r="D178" s="645" t="s">
        <v>441</v>
      </c>
      <c r="E178" s="668"/>
      <c r="F178" s="668"/>
      <c r="G178" s="668"/>
      <c r="H178" s="668"/>
      <c r="I178" s="668"/>
      <c r="J178" s="668"/>
      <c r="K178" s="668"/>
      <c r="L178" s="668"/>
      <c r="M178" s="668"/>
      <c r="N178" s="668"/>
      <c r="O178" s="471"/>
      <c r="P178" s="472"/>
      <c r="Q178" s="526"/>
      <c r="T178" s="455"/>
      <c r="U178" s="401"/>
    </row>
    <row r="179" spans="2:21" ht="24.75" customHeight="1">
      <c r="B179" s="382"/>
      <c r="C179" s="383"/>
      <c r="D179" s="645" t="s">
        <v>543</v>
      </c>
      <c r="E179" s="668"/>
      <c r="F179" s="668"/>
      <c r="G179" s="668"/>
      <c r="H179" s="668"/>
      <c r="I179" s="668"/>
      <c r="J179" s="668"/>
      <c r="K179" s="668"/>
      <c r="L179" s="668"/>
      <c r="M179" s="668"/>
      <c r="N179" s="668"/>
      <c r="O179" s="471"/>
      <c r="P179" s="472"/>
      <c r="Q179" s="526"/>
      <c r="T179" s="455"/>
      <c r="U179" s="401"/>
    </row>
    <row r="180" spans="2:17" ht="18" customHeight="1">
      <c r="B180" s="382"/>
      <c r="C180" s="383"/>
      <c r="D180" s="645" t="s">
        <v>544</v>
      </c>
      <c r="E180" s="668"/>
      <c r="F180" s="668"/>
      <c r="G180" s="668"/>
      <c r="H180" s="668"/>
      <c r="I180" s="668"/>
      <c r="J180" s="668"/>
      <c r="K180" s="668"/>
      <c r="L180" s="668"/>
      <c r="M180" s="668"/>
      <c r="N180" s="668"/>
      <c r="O180" s="471"/>
      <c r="P180" s="472"/>
      <c r="Q180" s="526"/>
    </row>
    <row r="181" spans="2:17" ht="15" customHeight="1">
      <c r="B181" s="382"/>
      <c r="C181" s="383"/>
      <c r="D181" s="645" t="s">
        <v>545</v>
      </c>
      <c r="E181" s="668"/>
      <c r="F181" s="668"/>
      <c r="G181" s="668"/>
      <c r="H181" s="668"/>
      <c r="I181" s="668"/>
      <c r="J181" s="668"/>
      <c r="K181" s="668"/>
      <c r="L181" s="668"/>
      <c r="M181" s="668"/>
      <c r="N181" s="668"/>
      <c r="O181" s="471"/>
      <c r="P181" s="472"/>
      <c r="Q181" s="526"/>
    </row>
    <row r="182" spans="2:17" ht="17.25" customHeight="1">
      <c r="B182" s="382"/>
      <c r="C182" s="432"/>
      <c r="D182" s="645" t="s">
        <v>551</v>
      </c>
      <c r="E182" s="646"/>
      <c r="F182" s="646"/>
      <c r="G182" s="646"/>
      <c r="H182" s="646"/>
      <c r="I182" s="646"/>
      <c r="J182" s="646"/>
      <c r="K182" s="646"/>
      <c r="L182" s="646"/>
      <c r="M182" s="646"/>
      <c r="N182" s="646"/>
      <c r="O182" s="471"/>
      <c r="P182" s="472"/>
      <c r="Q182" s="526"/>
    </row>
    <row r="183" spans="2:17" ht="43.5" customHeight="1">
      <c r="B183" s="382"/>
      <c r="C183" s="383"/>
      <c r="D183" s="645" t="s">
        <v>552</v>
      </c>
      <c r="E183" s="646"/>
      <c r="F183" s="646"/>
      <c r="G183" s="646"/>
      <c r="H183" s="646"/>
      <c r="I183" s="646"/>
      <c r="J183" s="646"/>
      <c r="K183" s="646"/>
      <c r="L183" s="646"/>
      <c r="M183" s="646"/>
      <c r="N183" s="646"/>
      <c r="O183" s="471"/>
      <c r="P183" s="472"/>
      <c r="Q183" s="526"/>
    </row>
    <row r="184" spans="2:17" ht="17.25" customHeight="1">
      <c r="B184" s="382"/>
      <c r="C184" s="383"/>
      <c r="D184" s="645" t="s">
        <v>553</v>
      </c>
      <c r="E184" s="646"/>
      <c r="F184" s="646"/>
      <c r="G184" s="646"/>
      <c r="H184" s="646"/>
      <c r="I184" s="646"/>
      <c r="J184" s="646"/>
      <c r="K184" s="646"/>
      <c r="L184" s="646"/>
      <c r="M184" s="646"/>
      <c r="N184" s="646"/>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2:N2"/>
    <mergeCell ref="D13:E14"/>
    <mergeCell ref="G13:G14"/>
    <mergeCell ref="H13:H14"/>
    <mergeCell ref="I13:I14"/>
    <mergeCell ref="J13:J14"/>
    <mergeCell ref="K13:K14"/>
    <mergeCell ref="L13:L14"/>
    <mergeCell ref="N13:N14"/>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154:E154"/>
    <mergeCell ref="D155:E155"/>
    <mergeCell ref="D156:E156"/>
    <mergeCell ref="D142:E142"/>
    <mergeCell ref="D143:E143"/>
    <mergeCell ref="D144:E144"/>
    <mergeCell ref="D133:E133"/>
    <mergeCell ref="D134:E134"/>
    <mergeCell ref="D135:E135"/>
    <mergeCell ref="D136:E136"/>
    <mergeCell ref="D137:E137"/>
    <mergeCell ref="D183:N183"/>
    <mergeCell ref="D152:E152"/>
    <mergeCell ref="D153:E153"/>
    <mergeCell ref="D128:E128"/>
    <mergeCell ref="D129:E129"/>
    <mergeCell ref="D130:E130"/>
    <mergeCell ref="D131:E131"/>
    <mergeCell ref="D132:E132"/>
    <mergeCell ref="D138:E138"/>
    <mergeCell ref="D140:E140"/>
    <mergeCell ref="D124:E124"/>
    <mergeCell ref="D125:E125"/>
    <mergeCell ref="D126:E126"/>
    <mergeCell ref="D127:E127"/>
    <mergeCell ref="D8:N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00:E100"/>
    <mergeCell ref="D101:E101"/>
    <mergeCell ref="D102:E102"/>
    <mergeCell ref="D103:E103"/>
    <mergeCell ref="D104:E104"/>
    <mergeCell ref="D105:E105"/>
    <mergeCell ref="D94:E94"/>
    <mergeCell ref="D96:E96"/>
    <mergeCell ref="D98:E98"/>
    <mergeCell ref="D88:E88"/>
    <mergeCell ref="D90:E90"/>
    <mergeCell ref="D91:E91"/>
    <mergeCell ref="D92:E92"/>
    <mergeCell ref="D93:E93"/>
    <mergeCell ref="D82:E82"/>
    <mergeCell ref="D83:E83"/>
    <mergeCell ref="D84:E84"/>
    <mergeCell ref="D86:E86"/>
    <mergeCell ref="D76:E76"/>
    <mergeCell ref="D77:E77"/>
    <mergeCell ref="D78:E78"/>
    <mergeCell ref="D79:E79"/>
    <mergeCell ref="D80:E80"/>
    <mergeCell ref="D81:E81"/>
    <mergeCell ref="D70:E70"/>
    <mergeCell ref="D71:E71"/>
    <mergeCell ref="D73:E73"/>
    <mergeCell ref="D75:E75"/>
    <mergeCell ref="D65:E65"/>
    <mergeCell ref="D67:E67"/>
    <mergeCell ref="D68:E68"/>
    <mergeCell ref="D69:E69"/>
    <mergeCell ref="D60:E60"/>
    <mergeCell ref="D61:E61"/>
    <mergeCell ref="D62:E62"/>
    <mergeCell ref="D63:E63"/>
    <mergeCell ref="D51:E51"/>
    <mergeCell ref="D52:E52"/>
    <mergeCell ref="D53:E53"/>
    <mergeCell ref="D54:E54"/>
    <mergeCell ref="D56:E57"/>
    <mergeCell ref="D46:E46"/>
    <mergeCell ref="D47:E47"/>
    <mergeCell ref="D48:E48"/>
    <mergeCell ref="D49:E49"/>
    <mergeCell ref="D50:E50"/>
    <mergeCell ref="D59:E59"/>
    <mergeCell ref="D40:E40"/>
    <mergeCell ref="D41:E41"/>
    <mergeCell ref="D42:E42"/>
    <mergeCell ref="D43:E43"/>
    <mergeCell ref="D44:E44"/>
    <mergeCell ref="D45:E45"/>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18:E18"/>
    <mergeCell ref="D30:E30"/>
    <mergeCell ref="D31:E31"/>
    <mergeCell ref="D32:E32"/>
    <mergeCell ref="H100:L100"/>
    <mergeCell ref="D16:E16"/>
    <mergeCell ref="D17:E17"/>
    <mergeCell ref="D27:E27"/>
    <mergeCell ref="D28:E28"/>
    <mergeCell ref="H33:L33"/>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80" t="s">
        <v>455</v>
      </c>
      <c r="C11" s="681"/>
      <c r="D11" s="681"/>
      <c r="E11" s="681"/>
      <c r="F11" s="681"/>
      <c r="G11" s="681"/>
      <c r="H11" s="681"/>
      <c r="I11" s="681"/>
      <c r="J11" s="682"/>
    </row>
    <row r="12" spans="2:10" ht="16.5" customHeight="1" thickBot="1">
      <c r="B12" s="683" t="s">
        <v>454</v>
      </c>
      <c r="C12" s="684"/>
      <c r="D12" s="684"/>
      <c r="E12" s="684"/>
      <c r="F12" s="684"/>
      <c r="G12" s="684"/>
      <c r="H12" s="684"/>
      <c r="I12" s="684"/>
      <c r="J12" s="685"/>
    </row>
    <row r="13" spans="2:10" ht="14.25" customHeight="1">
      <c r="B13" s="84"/>
      <c r="C13" s="85"/>
      <c r="D13" s="85"/>
      <c r="E13" s="85"/>
      <c r="F13" s="85"/>
      <c r="G13" s="85"/>
      <c r="H13" s="85"/>
      <c r="I13" s="85"/>
      <c r="J13" s="85"/>
    </row>
    <row r="14" spans="3:10" ht="12.75">
      <c r="C14" s="678" t="s">
        <v>126</v>
      </c>
      <c r="D14" s="679"/>
      <c r="E14" s="87"/>
      <c r="F14" s="87"/>
      <c r="H14" s="678"/>
      <c r="I14" s="678"/>
      <c r="J14" s="678"/>
    </row>
    <row r="15" spans="4:10" ht="12.75">
      <c r="D15" s="58"/>
      <c r="E15" s="87"/>
      <c r="F15" s="87"/>
      <c r="H15" s="99"/>
      <c r="I15" s="99"/>
      <c r="J15" s="99"/>
    </row>
    <row r="16" spans="2:10" s="94" customFormat="1" ht="12.75">
      <c r="B16" s="103"/>
      <c r="C16" s="104" t="s">
        <v>125</v>
      </c>
      <c r="D16" s="78" t="s">
        <v>431</v>
      </c>
      <c r="E16" s="89" t="s">
        <v>435</v>
      </c>
      <c r="F16" s="89" t="s">
        <v>432</v>
      </c>
      <c r="G16" s="94" t="s">
        <v>436</v>
      </c>
      <c r="H16" s="105"/>
      <c r="I16" s="106"/>
      <c r="J16" s="100"/>
    </row>
    <row r="17" spans="2:11" ht="12.75">
      <c r="B17" s="61"/>
      <c r="C17" s="62" t="s">
        <v>136</v>
      </c>
      <c r="D17" s="59"/>
      <c r="E17" s="91"/>
      <c r="F17" s="93"/>
      <c r="G17" s="92"/>
      <c r="H17" s="99"/>
      <c r="I17" s="111" t="s">
        <v>453</v>
      </c>
      <c r="J17" s="79" t="s">
        <v>429</v>
      </c>
      <c r="K17" s="80" t="s">
        <v>430</v>
      </c>
    </row>
    <row r="18" spans="3:11" ht="12.75">
      <c r="C18" s="95" t="s">
        <v>137</v>
      </c>
      <c r="D18" s="98">
        <v>0.0661</v>
      </c>
      <c r="E18" s="90">
        <f aca="true" t="shared" si="0" ref="E18:E49">(D18*$J$19)+$J$18</f>
        <v>5789.265</v>
      </c>
      <c r="F18" s="98">
        <v>0.0661</v>
      </c>
      <c r="G18" s="90">
        <f>(F18*$K$19)+$K$18</f>
        <v>5945.9175</v>
      </c>
      <c r="I18" s="112" t="s">
        <v>450</v>
      </c>
      <c r="J18" s="107">
        <v>5548</v>
      </c>
      <c r="K18" s="109">
        <v>5703</v>
      </c>
    </row>
    <row r="19" spans="3:11" ht="12.75">
      <c r="C19" s="95" t="s">
        <v>138</v>
      </c>
      <c r="D19" s="98">
        <v>0.2018</v>
      </c>
      <c r="E19" s="90">
        <f t="shared" si="0"/>
        <v>6284.57</v>
      </c>
      <c r="F19" s="98">
        <v>0.1969</v>
      </c>
      <c r="G19" s="90">
        <f aca="true" t="shared" si="1" ref="G19:G82">(F19*$K$19)+$K$18</f>
        <v>6426.6075</v>
      </c>
      <c r="I19" s="113" t="s">
        <v>449</v>
      </c>
      <c r="J19" s="101">
        <v>3650</v>
      </c>
      <c r="K19" s="102">
        <v>3675</v>
      </c>
    </row>
    <row r="20" spans="3:12" ht="12.75">
      <c r="C20" s="95" t="s">
        <v>139</v>
      </c>
      <c r="D20" s="98">
        <v>0.419</v>
      </c>
      <c r="E20" s="90">
        <f t="shared" si="0"/>
        <v>7077.35</v>
      </c>
      <c r="F20" s="98">
        <v>0.394</v>
      </c>
      <c r="G20" s="90">
        <f t="shared" si="1"/>
        <v>7150.95</v>
      </c>
      <c r="I20" s="113" t="s">
        <v>451</v>
      </c>
      <c r="J20" s="101">
        <v>128</v>
      </c>
      <c r="K20" s="102">
        <v>128</v>
      </c>
      <c r="L20" s="60" t="s">
        <v>457</v>
      </c>
    </row>
    <row r="21" spans="3:12" ht="12.75">
      <c r="C21" s="95" t="s">
        <v>140</v>
      </c>
      <c r="D21" s="98">
        <v>0.1184</v>
      </c>
      <c r="E21" s="90">
        <f t="shared" si="0"/>
        <v>5980.16</v>
      </c>
      <c r="F21" s="98">
        <v>0.1184</v>
      </c>
      <c r="G21" s="90">
        <f t="shared" si="1"/>
        <v>6138.12</v>
      </c>
      <c r="I21" s="113" t="s">
        <v>452</v>
      </c>
      <c r="J21" s="101">
        <v>2300</v>
      </c>
      <c r="K21" s="102">
        <v>2300</v>
      </c>
      <c r="L21" s="60" t="s">
        <v>458</v>
      </c>
    </row>
    <row r="22" spans="3:11" ht="12.75">
      <c r="C22" s="95" t="s">
        <v>141</v>
      </c>
      <c r="D22" s="98">
        <v>0.1792</v>
      </c>
      <c r="E22" s="90">
        <f t="shared" si="0"/>
        <v>6202.08</v>
      </c>
      <c r="F22" s="98">
        <v>0.1792</v>
      </c>
      <c r="G22" s="90">
        <f t="shared" si="1"/>
        <v>6361.5599999999995</v>
      </c>
      <c r="I22" s="114" t="s">
        <v>122</v>
      </c>
      <c r="J22" s="108">
        <v>6750</v>
      </c>
      <c r="K22" s="110">
        <v>6750</v>
      </c>
    </row>
    <row r="23" spans="3:8" ht="12.75">
      <c r="C23" s="95" t="s">
        <v>142</v>
      </c>
      <c r="D23" s="98">
        <v>0.0637</v>
      </c>
      <c r="E23" s="90">
        <f t="shared" si="0"/>
        <v>5780.505</v>
      </c>
      <c r="F23" s="98">
        <v>0.0637</v>
      </c>
      <c r="G23" s="90">
        <f t="shared" si="1"/>
        <v>5937.0975</v>
      </c>
      <c r="H23" s="81"/>
    </row>
    <row r="24" spans="3:14" ht="12.75">
      <c r="C24" s="95" t="s">
        <v>143</v>
      </c>
      <c r="D24" s="98">
        <v>0.0578</v>
      </c>
      <c r="E24" s="90">
        <f t="shared" si="0"/>
        <v>5758.97</v>
      </c>
      <c r="F24" s="98">
        <v>0.0578</v>
      </c>
      <c r="G24" s="90">
        <f t="shared" si="1"/>
        <v>5915.415</v>
      </c>
      <c r="I24" s="60" t="s">
        <v>456</v>
      </c>
      <c r="N24" s="88"/>
    </row>
    <row r="25" spans="3:14" ht="12.7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2.75">
      <c r="C27" s="95" t="s">
        <v>146</v>
      </c>
      <c r="D27" s="98">
        <v>0.0974</v>
      </c>
      <c r="E27" s="90">
        <f t="shared" si="0"/>
        <v>5903.51</v>
      </c>
      <c r="F27" s="98">
        <v>0.0974</v>
      </c>
      <c r="G27" s="90">
        <f t="shared" si="1"/>
        <v>6060.945</v>
      </c>
      <c r="J27" s="60" t="s">
        <v>474</v>
      </c>
    </row>
    <row r="28" spans="3:10" ht="12.75">
      <c r="C28" s="95" t="s">
        <v>147</v>
      </c>
      <c r="D28" s="98">
        <v>0.291</v>
      </c>
      <c r="E28" s="90">
        <f t="shared" si="0"/>
        <v>6610.15</v>
      </c>
      <c r="F28" s="98">
        <v>0.291</v>
      </c>
      <c r="G28" s="90">
        <f t="shared" si="1"/>
        <v>6772.425</v>
      </c>
      <c r="J28" s="60" t="s">
        <v>437</v>
      </c>
    </row>
    <row r="29" spans="3:10" ht="12.75">
      <c r="C29" s="95" t="s">
        <v>148</v>
      </c>
      <c r="D29" s="98">
        <v>0.176</v>
      </c>
      <c r="E29" s="90">
        <f t="shared" si="0"/>
        <v>6190.4</v>
      </c>
      <c r="F29" s="98">
        <v>0.151</v>
      </c>
      <c r="G29" s="90">
        <f t="shared" si="1"/>
        <v>6257.925</v>
      </c>
      <c r="J29" s="60" t="s">
        <v>472</v>
      </c>
    </row>
    <row r="30" spans="3:10" ht="12.75">
      <c r="C30" s="95" t="s">
        <v>149</v>
      </c>
      <c r="D30" s="98">
        <v>0.2549</v>
      </c>
      <c r="E30" s="90">
        <f t="shared" si="0"/>
        <v>6478.385</v>
      </c>
      <c r="F30" s="98">
        <v>0.2388</v>
      </c>
      <c r="G30" s="90">
        <f t="shared" si="1"/>
        <v>6580.59</v>
      </c>
      <c r="J30" s="60" t="s">
        <v>473</v>
      </c>
    </row>
    <row r="31" spans="3:7" ht="12.75">
      <c r="C31" s="95" t="s">
        <v>150</v>
      </c>
      <c r="D31" s="98">
        <v>0.1593</v>
      </c>
      <c r="E31" s="90">
        <f t="shared" si="0"/>
        <v>6129.445</v>
      </c>
      <c r="F31" s="98">
        <v>0.1593</v>
      </c>
      <c r="G31" s="90">
        <f t="shared" si="1"/>
        <v>6288.4275</v>
      </c>
    </row>
    <row r="32" spans="3:7" ht="12.75">
      <c r="C32" s="95" t="s">
        <v>151</v>
      </c>
      <c r="D32" s="98">
        <v>0.1775</v>
      </c>
      <c r="E32" s="90">
        <f t="shared" si="0"/>
        <v>6195.875</v>
      </c>
      <c r="F32" s="98">
        <v>0.1775</v>
      </c>
      <c r="G32" s="90">
        <f t="shared" si="1"/>
        <v>6355.3125</v>
      </c>
    </row>
    <row r="33" spans="3:7" ht="12.75">
      <c r="C33" s="95" t="s">
        <v>152</v>
      </c>
      <c r="D33" s="98">
        <v>0.0825</v>
      </c>
      <c r="E33" s="90">
        <f t="shared" si="0"/>
        <v>5849.125</v>
      </c>
      <c r="F33" s="98">
        <v>0.0745</v>
      </c>
      <c r="G33" s="90">
        <f t="shared" si="1"/>
        <v>5976.7875</v>
      </c>
    </row>
    <row r="34" spans="3:7" ht="12.75">
      <c r="C34" s="95" t="s">
        <v>153</v>
      </c>
      <c r="D34" s="98">
        <v>0.1626</v>
      </c>
      <c r="E34" s="90">
        <f t="shared" si="0"/>
        <v>6141.49</v>
      </c>
      <c r="F34" s="98">
        <v>0.1452</v>
      </c>
      <c r="G34" s="90">
        <f t="shared" si="1"/>
        <v>6236.61</v>
      </c>
    </row>
    <row r="35" spans="3:7" ht="12.75">
      <c r="C35" s="95" t="s">
        <v>154</v>
      </c>
      <c r="D35" s="98">
        <v>0.0537</v>
      </c>
      <c r="E35" s="90">
        <f t="shared" si="0"/>
        <v>5744.005</v>
      </c>
      <c r="F35" s="98">
        <v>0.0537</v>
      </c>
      <c r="G35" s="90">
        <f t="shared" si="1"/>
        <v>5900.3475</v>
      </c>
    </row>
    <row r="36" spans="3:7" ht="12.75">
      <c r="C36" s="95" t="s">
        <v>155</v>
      </c>
      <c r="D36" s="98">
        <v>0.1286</v>
      </c>
      <c r="E36" s="90">
        <f t="shared" si="0"/>
        <v>6017.39</v>
      </c>
      <c r="F36" s="98">
        <v>0.1286</v>
      </c>
      <c r="G36" s="90">
        <f t="shared" si="1"/>
        <v>6175.605</v>
      </c>
    </row>
    <row r="37" spans="3:7" ht="12.75">
      <c r="C37" s="95" t="s">
        <v>156</v>
      </c>
      <c r="D37" s="98">
        <v>0.1752</v>
      </c>
      <c r="E37" s="90">
        <f t="shared" si="0"/>
        <v>6187.48</v>
      </c>
      <c r="F37" s="98">
        <v>0.1552</v>
      </c>
      <c r="G37" s="90">
        <f t="shared" si="1"/>
        <v>6273.36</v>
      </c>
    </row>
    <row r="38" spans="3:7" ht="12.75">
      <c r="C38" s="96" t="s">
        <v>157</v>
      </c>
      <c r="D38" s="98">
        <v>0.3813</v>
      </c>
      <c r="E38" s="90">
        <f t="shared" si="0"/>
        <v>6939.745</v>
      </c>
      <c r="F38" s="98">
        <v>0.3813</v>
      </c>
      <c r="G38" s="90">
        <f t="shared" si="1"/>
        <v>7104.2775</v>
      </c>
    </row>
    <row r="39" spans="3:7" ht="12.75">
      <c r="C39" s="95" t="s">
        <v>158</v>
      </c>
      <c r="D39" s="98">
        <v>0.0236</v>
      </c>
      <c r="E39" s="90">
        <f t="shared" si="0"/>
        <v>5634.14</v>
      </c>
      <c r="F39" s="98">
        <v>0.0236</v>
      </c>
      <c r="G39" s="90">
        <f t="shared" si="1"/>
        <v>5789.73</v>
      </c>
    </row>
    <row r="40" spans="3:7" ht="12.75">
      <c r="C40" s="95" t="s">
        <v>159</v>
      </c>
      <c r="D40" s="98">
        <v>0.1</v>
      </c>
      <c r="E40" s="90">
        <f t="shared" si="0"/>
        <v>5913</v>
      </c>
      <c r="F40" s="98">
        <v>0.0973</v>
      </c>
      <c r="G40" s="90">
        <f t="shared" si="1"/>
        <v>6060.5775</v>
      </c>
    </row>
    <row r="41" spans="3:7" ht="12.75">
      <c r="C41" s="95" t="s">
        <v>160</v>
      </c>
      <c r="D41" s="98">
        <v>0.1404</v>
      </c>
      <c r="E41" s="90">
        <f t="shared" si="0"/>
        <v>6060.46</v>
      </c>
      <c r="F41" s="98">
        <v>0.1404</v>
      </c>
      <c r="G41" s="90">
        <f t="shared" si="1"/>
        <v>6218.97</v>
      </c>
    </row>
    <row r="42" spans="3:7" ht="12.75">
      <c r="C42" s="95" t="s">
        <v>161</v>
      </c>
      <c r="D42" s="98">
        <v>0.0564</v>
      </c>
      <c r="E42" s="90">
        <f t="shared" si="0"/>
        <v>5753.86</v>
      </c>
      <c r="F42" s="98">
        <v>0.0564</v>
      </c>
      <c r="G42" s="90">
        <f t="shared" si="1"/>
        <v>5910.27</v>
      </c>
    </row>
    <row r="43" spans="3:7" ht="12.75">
      <c r="C43" s="95" t="s">
        <v>162</v>
      </c>
      <c r="D43" s="98">
        <v>0.135</v>
      </c>
      <c r="E43" s="90">
        <f t="shared" si="0"/>
        <v>6040.75</v>
      </c>
      <c r="F43" s="98">
        <v>0.1337</v>
      </c>
      <c r="G43" s="90">
        <f t="shared" si="1"/>
        <v>6194.3475</v>
      </c>
    </row>
    <row r="44" spans="3:7" ht="12.75">
      <c r="C44" s="95" t="s">
        <v>163</v>
      </c>
      <c r="D44" s="98">
        <v>0.1091</v>
      </c>
      <c r="E44" s="90">
        <f t="shared" si="0"/>
        <v>5946.215</v>
      </c>
      <c r="F44" s="98">
        <v>0.1091</v>
      </c>
      <c r="G44" s="90">
        <f t="shared" si="1"/>
        <v>6103.9425</v>
      </c>
    </row>
    <row r="45" spans="3:7" ht="12.75">
      <c r="C45" s="95" t="s">
        <v>164</v>
      </c>
      <c r="D45" s="98">
        <v>0.111</v>
      </c>
      <c r="E45" s="90">
        <f t="shared" si="0"/>
        <v>5953.15</v>
      </c>
      <c r="F45" s="98">
        <v>0.1086</v>
      </c>
      <c r="G45" s="90">
        <f t="shared" si="1"/>
        <v>6102.105</v>
      </c>
    </row>
    <row r="46" spans="3:7" ht="12.75">
      <c r="C46" s="95" t="s">
        <v>165</v>
      </c>
      <c r="D46" s="98">
        <v>0.2061</v>
      </c>
      <c r="E46" s="90">
        <f t="shared" si="0"/>
        <v>6300.265</v>
      </c>
      <c r="F46" s="98">
        <v>0.1967</v>
      </c>
      <c r="G46" s="90">
        <f t="shared" si="1"/>
        <v>6425.8725</v>
      </c>
    </row>
    <row r="47" spans="3:7" ht="12.75">
      <c r="C47" s="95" t="s">
        <v>166</v>
      </c>
      <c r="D47" s="98">
        <v>0.2124</v>
      </c>
      <c r="E47" s="90">
        <f t="shared" si="0"/>
        <v>6323.26</v>
      </c>
      <c r="F47" s="98">
        <v>0.204</v>
      </c>
      <c r="G47" s="90">
        <f t="shared" si="1"/>
        <v>6452.7</v>
      </c>
    </row>
    <row r="48" spans="3:7" ht="12.75">
      <c r="C48" s="95" t="s">
        <v>167</v>
      </c>
      <c r="D48" s="98">
        <v>0.1489</v>
      </c>
      <c r="E48" s="90">
        <f t="shared" si="0"/>
        <v>6091.485</v>
      </c>
      <c r="F48" s="98">
        <v>0.1239</v>
      </c>
      <c r="G48" s="90">
        <f t="shared" si="1"/>
        <v>6158.3325</v>
      </c>
    </row>
    <row r="49" spans="3:7" ht="12.75">
      <c r="C49" s="95" t="s">
        <v>168</v>
      </c>
      <c r="D49" s="98">
        <v>0.1502</v>
      </c>
      <c r="E49" s="90">
        <f t="shared" si="0"/>
        <v>6096.23</v>
      </c>
      <c r="F49" s="98">
        <v>0.1502</v>
      </c>
      <c r="G49" s="90">
        <f t="shared" si="1"/>
        <v>6254.985</v>
      </c>
    </row>
    <row r="50" spans="3:7" ht="12.75">
      <c r="C50" s="95" t="s">
        <v>169</v>
      </c>
      <c r="D50" s="98">
        <v>0.2184</v>
      </c>
      <c r="E50" s="90">
        <f aca="true" t="shared" si="2" ref="E50:E80">(D50*$J$19)+$J$18</f>
        <v>6345.16</v>
      </c>
      <c r="F50" s="98">
        <v>0.2104</v>
      </c>
      <c r="G50" s="90">
        <f t="shared" si="1"/>
        <v>6476.22</v>
      </c>
    </row>
    <row r="51" spans="3:7" ht="12.75">
      <c r="C51" s="95" t="s">
        <v>170</v>
      </c>
      <c r="D51" s="98">
        <v>0.2331</v>
      </c>
      <c r="E51" s="90">
        <f t="shared" si="2"/>
        <v>6398.8150000000005</v>
      </c>
      <c r="F51" s="98">
        <v>0.2081</v>
      </c>
      <c r="G51" s="90">
        <f t="shared" si="1"/>
        <v>6467.7675</v>
      </c>
    </row>
    <row r="52" spans="3:7" ht="12.75">
      <c r="C52" s="95" t="s">
        <v>171</v>
      </c>
      <c r="D52" s="98">
        <v>0.146</v>
      </c>
      <c r="E52" s="90">
        <f t="shared" si="2"/>
        <v>6080.9</v>
      </c>
      <c r="F52" s="98">
        <v>0.1237</v>
      </c>
      <c r="G52" s="90">
        <f t="shared" si="1"/>
        <v>6157.5975</v>
      </c>
    </row>
    <row r="53" spans="3:7" ht="12.75">
      <c r="C53" s="95" t="s">
        <v>172</v>
      </c>
      <c r="D53" s="98">
        <v>0.1015</v>
      </c>
      <c r="E53" s="90">
        <f t="shared" si="2"/>
        <v>5918.475</v>
      </c>
      <c r="F53" s="98">
        <v>0.0988</v>
      </c>
      <c r="G53" s="90">
        <f t="shared" si="1"/>
        <v>6066.09</v>
      </c>
    </row>
    <row r="54" spans="3:7" ht="12.75">
      <c r="C54" s="95" t="s">
        <v>173</v>
      </c>
      <c r="D54" s="98">
        <v>0.1788</v>
      </c>
      <c r="E54" s="90">
        <f t="shared" si="2"/>
        <v>6200.62</v>
      </c>
      <c r="F54" s="98">
        <v>0.1788</v>
      </c>
      <c r="G54" s="90">
        <f t="shared" si="1"/>
        <v>6360.09</v>
      </c>
    </row>
    <row r="55" spans="3:7" ht="12.75">
      <c r="C55" s="95" t="s">
        <v>174</v>
      </c>
      <c r="D55" s="98">
        <v>0.2101</v>
      </c>
      <c r="E55" s="90">
        <f t="shared" si="2"/>
        <v>6314.865</v>
      </c>
      <c r="F55" s="98">
        <v>0.2101</v>
      </c>
      <c r="G55" s="90">
        <f t="shared" si="1"/>
        <v>6475.1175</v>
      </c>
    </row>
    <row r="56" spans="3:7" ht="12.75">
      <c r="C56" s="95" t="s">
        <v>175</v>
      </c>
      <c r="D56" s="98">
        <v>0.2245</v>
      </c>
      <c r="E56" s="90">
        <f t="shared" si="2"/>
        <v>6367.425</v>
      </c>
      <c r="F56" s="98">
        <v>0.21</v>
      </c>
      <c r="G56" s="90">
        <f t="shared" si="1"/>
        <v>6474.75</v>
      </c>
    </row>
    <row r="57" spans="3:7" ht="12.75">
      <c r="C57" s="95" t="s">
        <v>176</v>
      </c>
      <c r="D57" s="98">
        <v>0.1898</v>
      </c>
      <c r="E57" s="90">
        <f t="shared" si="2"/>
        <v>6240.77</v>
      </c>
      <c r="F57" s="98">
        <v>0.1884</v>
      </c>
      <c r="G57" s="90">
        <f t="shared" si="1"/>
        <v>6395.37</v>
      </c>
    </row>
    <row r="58" spans="3:7" ht="12.75">
      <c r="C58" s="95" t="s">
        <v>177</v>
      </c>
      <c r="D58" s="98">
        <v>0.066</v>
      </c>
      <c r="E58" s="90">
        <f t="shared" si="2"/>
        <v>5788.9</v>
      </c>
      <c r="F58" s="98">
        <v>0.066</v>
      </c>
      <c r="G58" s="90">
        <f t="shared" si="1"/>
        <v>5945.55</v>
      </c>
    </row>
    <row r="59" spans="3:7" ht="12.75">
      <c r="C59" s="96" t="s">
        <v>178</v>
      </c>
      <c r="D59" s="98">
        <v>0.2073</v>
      </c>
      <c r="E59" s="90">
        <f t="shared" si="2"/>
        <v>6304.645</v>
      </c>
      <c r="F59" s="98">
        <v>0.19</v>
      </c>
      <c r="G59" s="90">
        <f t="shared" si="1"/>
        <v>6401.25</v>
      </c>
    </row>
    <row r="60" spans="3:7" ht="12.75">
      <c r="C60" s="95" t="s">
        <v>179</v>
      </c>
      <c r="D60" s="98">
        <v>0.154</v>
      </c>
      <c r="E60" s="90">
        <f t="shared" si="2"/>
        <v>6110.1</v>
      </c>
      <c r="F60" s="98">
        <v>0.154</v>
      </c>
      <c r="G60" s="90">
        <f t="shared" si="1"/>
        <v>6268.95</v>
      </c>
    </row>
    <row r="61" spans="3:7" ht="12.75">
      <c r="C61" s="95" t="s">
        <v>180</v>
      </c>
      <c r="D61" s="98">
        <v>0.0738</v>
      </c>
      <c r="E61" s="90">
        <f t="shared" si="2"/>
        <v>5817.37</v>
      </c>
      <c r="F61" s="98">
        <v>0.0738</v>
      </c>
      <c r="G61" s="90">
        <f t="shared" si="1"/>
        <v>5974.215</v>
      </c>
    </row>
    <row r="62" spans="3:7" ht="12.75">
      <c r="C62" s="95" t="s">
        <v>181</v>
      </c>
      <c r="D62" s="98">
        <v>0.1443</v>
      </c>
      <c r="E62" s="90">
        <f t="shared" si="2"/>
        <v>6074.695</v>
      </c>
      <c r="F62" s="98">
        <v>0.1337</v>
      </c>
      <c r="G62" s="90">
        <f t="shared" si="1"/>
        <v>6194.3475</v>
      </c>
    </row>
    <row r="63" spans="3:7" ht="12.75">
      <c r="C63" s="95" t="s">
        <v>182</v>
      </c>
      <c r="D63" s="98">
        <v>0.1176</v>
      </c>
      <c r="E63" s="90">
        <f t="shared" si="2"/>
        <v>5977.24</v>
      </c>
      <c r="F63" s="98">
        <v>0.1052</v>
      </c>
      <c r="G63" s="90">
        <f t="shared" si="1"/>
        <v>6089.61</v>
      </c>
    </row>
    <row r="64" spans="3:7" ht="12.75">
      <c r="C64" s="95" t="s">
        <v>183</v>
      </c>
      <c r="D64" s="98">
        <v>0.1345</v>
      </c>
      <c r="E64" s="90">
        <f t="shared" si="2"/>
        <v>6038.925</v>
      </c>
      <c r="F64" s="98">
        <v>0.128</v>
      </c>
      <c r="G64" s="90">
        <f t="shared" si="1"/>
        <v>6173.4</v>
      </c>
    </row>
    <row r="65" spans="3:7" ht="12.75">
      <c r="C65" s="95" t="s">
        <v>184</v>
      </c>
      <c r="D65" s="98">
        <v>0.1553</v>
      </c>
      <c r="E65" s="90">
        <f t="shared" si="2"/>
        <v>6114.845</v>
      </c>
      <c r="F65" s="98">
        <v>0.1553</v>
      </c>
      <c r="G65" s="90">
        <f t="shared" si="1"/>
        <v>6273.7275</v>
      </c>
    </row>
    <row r="66" spans="3:7" ht="12.75">
      <c r="C66" s="95" t="s">
        <v>185</v>
      </c>
      <c r="D66" s="98">
        <v>0.1329</v>
      </c>
      <c r="E66" s="90">
        <f t="shared" si="2"/>
        <v>6033.085</v>
      </c>
      <c r="F66" s="98">
        <v>0.1329</v>
      </c>
      <c r="G66" s="90">
        <f t="shared" si="1"/>
        <v>6191.4075</v>
      </c>
    </row>
    <row r="67" spans="3:7" ht="12.75">
      <c r="C67" s="95" t="s">
        <v>186</v>
      </c>
      <c r="D67" s="98">
        <v>0.0839</v>
      </c>
      <c r="E67" s="90">
        <f t="shared" si="2"/>
        <v>5854.235</v>
      </c>
      <c r="F67" s="98">
        <v>0.082</v>
      </c>
      <c r="G67" s="90">
        <f t="shared" si="1"/>
        <v>6004.35</v>
      </c>
    </row>
    <row r="68" spans="3:7" ht="12.75">
      <c r="C68" s="95" t="s">
        <v>187</v>
      </c>
      <c r="D68" s="98">
        <v>0.2184</v>
      </c>
      <c r="E68" s="90">
        <f t="shared" si="2"/>
        <v>6345.16</v>
      </c>
      <c r="F68" s="98">
        <v>0.2184</v>
      </c>
      <c r="G68" s="90">
        <f t="shared" si="1"/>
        <v>6505.62</v>
      </c>
    </row>
    <row r="69" spans="3:7" ht="12.75">
      <c r="C69" s="95" t="s">
        <v>188</v>
      </c>
      <c r="D69" s="98">
        <v>0.1722</v>
      </c>
      <c r="E69" s="90">
        <f t="shared" si="2"/>
        <v>6176.53</v>
      </c>
      <c r="F69" s="98">
        <v>0.1722</v>
      </c>
      <c r="G69" s="90">
        <f t="shared" si="1"/>
        <v>6335.835</v>
      </c>
    </row>
    <row r="70" spans="3:7" ht="12.75">
      <c r="C70" s="95" t="s">
        <v>189</v>
      </c>
      <c r="D70" s="98">
        <v>0.1508</v>
      </c>
      <c r="E70" s="90">
        <f t="shared" si="2"/>
        <v>6098.42</v>
      </c>
      <c r="F70" s="98">
        <v>0.1334</v>
      </c>
      <c r="G70" s="90">
        <f t="shared" si="1"/>
        <v>6193.245</v>
      </c>
    </row>
    <row r="71" spans="3:7" ht="12.75">
      <c r="C71" s="95" t="s">
        <v>190</v>
      </c>
      <c r="D71" s="98">
        <v>0.0502</v>
      </c>
      <c r="E71" s="90">
        <f t="shared" si="2"/>
        <v>5731.23</v>
      </c>
      <c r="F71" s="98">
        <v>0.0502</v>
      </c>
      <c r="G71" s="90">
        <f t="shared" si="1"/>
        <v>5887.485</v>
      </c>
    </row>
    <row r="72" spans="3:7" ht="12.75">
      <c r="C72" s="95" t="s">
        <v>191</v>
      </c>
      <c r="D72" s="98">
        <v>0.1711</v>
      </c>
      <c r="E72" s="90">
        <f t="shared" si="2"/>
        <v>6172.515</v>
      </c>
      <c r="F72" s="98">
        <v>0.1559</v>
      </c>
      <c r="G72" s="90">
        <f t="shared" si="1"/>
        <v>6275.9325</v>
      </c>
    </row>
    <row r="73" spans="3:7" ht="12.75">
      <c r="C73" s="95" t="s">
        <v>192</v>
      </c>
      <c r="D73" s="98">
        <v>0.1507</v>
      </c>
      <c r="E73" s="90">
        <f t="shared" si="2"/>
        <v>6098.055</v>
      </c>
      <c r="F73" s="98">
        <v>0.1507</v>
      </c>
      <c r="G73" s="90">
        <f t="shared" si="1"/>
        <v>6256.8225</v>
      </c>
    </row>
    <row r="74" spans="3:7" ht="12.75">
      <c r="C74" s="95" t="s">
        <v>193</v>
      </c>
      <c r="D74" s="98">
        <v>0.1602</v>
      </c>
      <c r="E74" s="90">
        <f t="shared" si="2"/>
        <v>6132.73</v>
      </c>
      <c r="F74" s="98">
        <v>0.1513</v>
      </c>
      <c r="G74" s="90">
        <f t="shared" si="1"/>
        <v>6259.0275</v>
      </c>
    </row>
    <row r="75" spans="3:7" ht="12.75">
      <c r="C75" s="95" t="s">
        <v>194</v>
      </c>
      <c r="D75" s="98">
        <v>0.0997</v>
      </c>
      <c r="E75" s="90">
        <f t="shared" si="2"/>
        <v>5911.905</v>
      </c>
      <c r="F75" s="98">
        <v>0.0896</v>
      </c>
      <c r="G75" s="90">
        <f t="shared" si="1"/>
        <v>6032.28</v>
      </c>
    </row>
    <row r="76" spans="3:7" ht="12.75">
      <c r="C76" s="95" t="s">
        <v>195</v>
      </c>
      <c r="D76" s="98">
        <v>0.119</v>
      </c>
      <c r="E76" s="90">
        <f t="shared" si="2"/>
        <v>5982.35</v>
      </c>
      <c r="F76" s="98">
        <v>0.119</v>
      </c>
      <c r="G76" s="90">
        <f t="shared" si="1"/>
        <v>6140.325</v>
      </c>
    </row>
    <row r="77" spans="3:7" ht="12.75">
      <c r="C77" s="95" t="s">
        <v>196</v>
      </c>
      <c r="D77" s="98">
        <v>0.161</v>
      </c>
      <c r="E77" s="90">
        <f t="shared" si="2"/>
        <v>6135.65</v>
      </c>
      <c r="F77" s="98">
        <v>0.136</v>
      </c>
      <c r="G77" s="90">
        <f t="shared" si="1"/>
        <v>6202.8</v>
      </c>
    </row>
    <row r="78" spans="3:7" ht="12.75">
      <c r="C78" s="95" t="s">
        <v>197</v>
      </c>
      <c r="D78" s="98">
        <v>0.2157</v>
      </c>
      <c r="E78" s="90">
        <f t="shared" si="2"/>
        <v>6335.305</v>
      </c>
      <c r="F78" s="98">
        <v>0.1907</v>
      </c>
      <c r="G78" s="90">
        <f t="shared" si="1"/>
        <v>6403.8225</v>
      </c>
    </row>
    <row r="79" spans="3:7" ht="12.75">
      <c r="C79" s="95" t="s">
        <v>198</v>
      </c>
      <c r="D79" s="98">
        <v>0.244</v>
      </c>
      <c r="E79" s="90">
        <f t="shared" si="2"/>
        <v>6438.6</v>
      </c>
      <c r="F79" s="98">
        <v>0.2221</v>
      </c>
      <c r="G79" s="90">
        <f t="shared" si="1"/>
        <v>6519.2175</v>
      </c>
    </row>
    <row r="80" spans="3:7" ht="12.75">
      <c r="C80" s="95" t="s">
        <v>199</v>
      </c>
      <c r="D80" s="98">
        <v>0.2835</v>
      </c>
      <c r="E80" s="90">
        <f t="shared" si="2"/>
        <v>6582.775</v>
      </c>
      <c r="F80" s="98">
        <v>0.2656</v>
      </c>
      <c r="G80" s="90">
        <f t="shared" si="1"/>
        <v>6679.08</v>
      </c>
    </row>
    <row r="81" spans="3:7" ht="12.75">
      <c r="C81" s="95" t="s">
        <v>200</v>
      </c>
      <c r="D81" s="98">
        <v>0.1778</v>
      </c>
      <c r="E81" s="90">
        <f aca="true" t="shared" si="3" ref="E81:E144">(D81*$J$19)+$J$18</f>
        <v>6196.97</v>
      </c>
      <c r="F81" s="98">
        <v>0.1528</v>
      </c>
      <c r="G81" s="90">
        <f t="shared" si="1"/>
        <v>6264.54</v>
      </c>
    </row>
    <row r="82" spans="3:7" ht="12.75">
      <c r="C82" s="95" t="s">
        <v>201</v>
      </c>
      <c r="D82" s="98">
        <v>0.2575</v>
      </c>
      <c r="E82" s="90">
        <f t="shared" si="3"/>
        <v>6487.875</v>
      </c>
      <c r="F82" s="98">
        <v>0.2434</v>
      </c>
      <c r="G82" s="90">
        <f t="shared" si="1"/>
        <v>6597.495</v>
      </c>
    </row>
    <row r="83" spans="3:7" ht="12.75">
      <c r="C83" s="95" t="s">
        <v>202</v>
      </c>
      <c r="D83" s="98">
        <v>0.0361</v>
      </c>
      <c r="E83" s="90">
        <f t="shared" si="3"/>
        <v>5679.765</v>
      </c>
      <c r="F83" s="98">
        <v>0.0361</v>
      </c>
      <c r="G83" s="90">
        <f aca="true" t="shared" si="4" ref="G83:G146">(F83*$K$19)+$K$18</f>
        <v>5835.6675</v>
      </c>
    </row>
    <row r="84" spans="3:7" ht="12.75">
      <c r="C84" s="95" t="s">
        <v>203</v>
      </c>
      <c r="D84" s="98">
        <v>0.2637</v>
      </c>
      <c r="E84" s="90">
        <f t="shared" si="3"/>
        <v>6510.505</v>
      </c>
      <c r="F84" s="98">
        <v>0.2387</v>
      </c>
      <c r="G84" s="90">
        <f t="shared" si="4"/>
        <v>6580.2225</v>
      </c>
    </row>
    <row r="85" spans="3:7" ht="12.75">
      <c r="C85" s="95" t="s">
        <v>204</v>
      </c>
      <c r="D85" s="98">
        <v>0.1419</v>
      </c>
      <c r="E85" s="90">
        <f t="shared" si="3"/>
        <v>6065.9349999999995</v>
      </c>
      <c r="F85" s="98">
        <v>0.1169</v>
      </c>
      <c r="G85" s="90">
        <f t="shared" si="4"/>
        <v>6132.6075</v>
      </c>
    </row>
    <row r="86" spans="3:7" ht="12.75">
      <c r="C86" s="95" t="s">
        <v>205</v>
      </c>
      <c r="D86" s="98">
        <v>0.3155</v>
      </c>
      <c r="E86" s="90">
        <f t="shared" si="3"/>
        <v>6699.575</v>
      </c>
      <c r="F86" s="98">
        <v>0.2905</v>
      </c>
      <c r="G86" s="90">
        <f t="shared" si="4"/>
        <v>6770.5875</v>
      </c>
    </row>
    <row r="87" spans="3:7" ht="12.75">
      <c r="C87" s="95" t="s">
        <v>206</v>
      </c>
      <c r="D87" s="98">
        <v>0.1379</v>
      </c>
      <c r="E87" s="90">
        <f t="shared" si="3"/>
        <v>6051.335</v>
      </c>
      <c r="F87" s="98">
        <v>0.1379</v>
      </c>
      <c r="G87" s="90">
        <f t="shared" si="4"/>
        <v>6209.7825</v>
      </c>
    </row>
    <row r="88" spans="3:7" ht="12.75">
      <c r="C88" s="95" t="s">
        <v>207</v>
      </c>
      <c r="D88" s="98">
        <v>0.1472</v>
      </c>
      <c r="E88" s="90">
        <f t="shared" si="3"/>
        <v>6085.28</v>
      </c>
      <c r="F88" s="98">
        <v>0.1472</v>
      </c>
      <c r="G88" s="90">
        <f t="shared" si="4"/>
        <v>6243.96</v>
      </c>
    </row>
    <row r="89" spans="3:7" ht="12.75">
      <c r="C89" s="95" t="s">
        <v>208</v>
      </c>
      <c r="D89" s="98">
        <v>0.1012</v>
      </c>
      <c r="E89" s="90">
        <f t="shared" si="3"/>
        <v>5917.38</v>
      </c>
      <c r="F89" s="98">
        <v>0.1012</v>
      </c>
      <c r="G89" s="90">
        <f t="shared" si="4"/>
        <v>6074.91</v>
      </c>
    </row>
    <row r="90" spans="3:7" ht="12.75">
      <c r="C90" s="95" t="s">
        <v>209</v>
      </c>
      <c r="D90" s="98">
        <v>0.1101</v>
      </c>
      <c r="E90" s="90">
        <f t="shared" si="3"/>
        <v>5949.865</v>
      </c>
      <c r="F90" s="98">
        <v>0.1101</v>
      </c>
      <c r="G90" s="90">
        <f t="shared" si="4"/>
        <v>6107.6175</v>
      </c>
    </row>
    <row r="91" spans="3:7" ht="12.75">
      <c r="C91" s="95" t="s">
        <v>210</v>
      </c>
      <c r="D91" s="98">
        <v>0.1226</v>
      </c>
      <c r="E91" s="90">
        <f t="shared" si="3"/>
        <v>5995.49</v>
      </c>
      <c r="F91" s="98">
        <v>0.1116</v>
      </c>
      <c r="G91" s="90">
        <f t="shared" si="4"/>
        <v>6113.13</v>
      </c>
    </row>
    <row r="92" spans="3:7" ht="12.75">
      <c r="C92" s="95" t="s">
        <v>211</v>
      </c>
      <c r="D92" s="98">
        <v>0.0879</v>
      </c>
      <c r="E92" s="90">
        <f t="shared" si="3"/>
        <v>5868.835</v>
      </c>
      <c r="F92" s="98">
        <v>0.0879</v>
      </c>
      <c r="G92" s="90">
        <f t="shared" si="4"/>
        <v>6026.0325</v>
      </c>
    </row>
    <row r="93" spans="3:7" ht="12.75">
      <c r="C93" s="95" t="s">
        <v>212</v>
      </c>
      <c r="D93" s="98">
        <v>0.1427</v>
      </c>
      <c r="E93" s="90">
        <f t="shared" si="3"/>
        <v>6068.855</v>
      </c>
      <c r="F93" s="98">
        <v>0.1277</v>
      </c>
      <c r="G93" s="90">
        <f t="shared" si="4"/>
        <v>6172.2975</v>
      </c>
    </row>
    <row r="94" spans="3:7" ht="12.75">
      <c r="C94" s="95" t="s">
        <v>213</v>
      </c>
      <c r="D94" s="98">
        <v>0.5916</v>
      </c>
      <c r="E94" s="90">
        <f t="shared" si="3"/>
        <v>7707.34</v>
      </c>
      <c r="F94" s="98">
        <v>0.5685</v>
      </c>
      <c r="G94" s="90">
        <f t="shared" si="4"/>
        <v>7792.2375</v>
      </c>
    </row>
    <row r="95" spans="3:7" ht="12.75">
      <c r="C95" s="95" t="s">
        <v>214</v>
      </c>
      <c r="D95" s="98">
        <v>0.1216</v>
      </c>
      <c r="E95" s="90">
        <f t="shared" si="3"/>
        <v>5991.84</v>
      </c>
      <c r="F95" s="98">
        <v>0.0966</v>
      </c>
      <c r="G95" s="90">
        <f t="shared" si="4"/>
        <v>6058.005</v>
      </c>
    </row>
    <row r="96" spans="3:7" ht="12.75">
      <c r="C96" s="95" t="s">
        <v>215</v>
      </c>
      <c r="D96" s="98">
        <v>0.1715</v>
      </c>
      <c r="E96" s="90">
        <f t="shared" si="3"/>
        <v>6173.975</v>
      </c>
      <c r="F96" s="98">
        <v>0.1709</v>
      </c>
      <c r="G96" s="90">
        <f t="shared" si="4"/>
        <v>6331.0575</v>
      </c>
    </row>
    <row r="97" spans="3:7" ht="12.75">
      <c r="C97" s="95" t="s">
        <v>216</v>
      </c>
      <c r="D97" s="98">
        <v>0.064</v>
      </c>
      <c r="E97" s="90">
        <f t="shared" si="3"/>
        <v>5781.6</v>
      </c>
      <c r="F97" s="98">
        <v>0.064</v>
      </c>
      <c r="G97" s="90">
        <f t="shared" si="4"/>
        <v>5938.2</v>
      </c>
    </row>
    <row r="98" spans="3:7" ht="12.75">
      <c r="C98" s="95" t="s">
        <v>217</v>
      </c>
      <c r="D98" s="98">
        <v>0.1745</v>
      </c>
      <c r="E98" s="90">
        <f t="shared" si="3"/>
        <v>6184.925</v>
      </c>
      <c r="F98" s="98">
        <v>0.1745</v>
      </c>
      <c r="G98" s="90">
        <f t="shared" si="4"/>
        <v>6344.2875</v>
      </c>
    </row>
    <row r="99" spans="3:7" ht="12.75">
      <c r="C99" s="95" t="s">
        <v>218</v>
      </c>
      <c r="D99" s="98">
        <v>0.1191</v>
      </c>
      <c r="E99" s="90">
        <f t="shared" si="3"/>
        <v>5982.715</v>
      </c>
      <c r="F99" s="98">
        <v>0.118</v>
      </c>
      <c r="G99" s="90">
        <f t="shared" si="4"/>
        <v>6136.65</v>
      </c>
    </row>
    <row r="100" spans="3:7" ht="12.75">
      <c r="C100" s="95" t="s">
        <v>219</v>
      </c>
      <c r="D100" s="98">
        <v>0.1672</v>
      </c>
      <c r="E100" s="90">
        <f t="shared" si="3"/>
        <v>6158.28</v>
      </c>
      <c r="F100" s="98">
        <v>0.1669</v>
      </c>
      <c r="G100" s="90">
        <f t="shared" si="4"/>
        <v>6316.3575</v>
      </c>
    </row>
    <row r="101" spans="3:7" ht="12.75">
      <c r="C101" s="95" t="s">
        <v>220</v>
      </c>
      <c r="D101" s="98">
        <v>0.1538</v>
      </c>
      <c r="E101" s="90">
        <f t="shared" si="3"/>
        <v>6109.37</v>
      </c>
      <c r="F101" s="98">
        <v>0.1538</v>
      </c>
      <c r="G101" s="90">
        <f t="shared" si="4"/>
        <v>6268.215</v>
      </c>
    </row>
    <row r="102" spans="3:7" ht="12.75">
      <c r="C102" s="95" t="s">
        <v>221</v>
      </c>
      <c r="D102" s="98">
        <v>0.1943</v>
      </c>
      <c r="E102" s="90">
        <f t="shared" si="3"/>
        <v>6257.195</v>
      </c>
      <c r="F102" s="98">
        <v>0.1793</v>
      </c>
      <c r="G102" s="90">
        <f t="shared" si="4"/>
        <v>6361.9275</v>
      </c>
    </row>
    <row r="103" spans="3:7" ht="12.75">
      <c r="C103" s="96" t="s">
        <v>222</v>
      </c>
      <c r="D103" s="98">
        <v>0.0928</v>
      </c>
      <c r="E103" s="90">
        <f t="shared" si="3"/>
        <v>5886.72</v>
      </c>
      <c r="F103" s="98">
        <v>0.0928</v>
      </c>
      <c r="G103" s="90">
        <f t="shared" si="4"/>
        <v>6044.04</v>
      </c>
    </row>
    <row r="104" spans="3:7" ht="12.75">
      <c r="C104" s="95" t="s">
        <v>223</v>
      </c>
      <c r="D104" s="98">
        <v>0.0973</v>
      </c>
      <c r="E104" s="90">
        <f t="shared" si="3"/>
        <v>5903.145</v>
      </c>
      <c r="F104" s="98">
        <v>0.0973</v>
      </c>
      <c r="G104" s="90">
        <f t="shared" si="4"/>
        <v>6060.5775</v>
      </c>
    </row>
    <row r="105" spans="3:7" ht="12.75">
      <c r="C105" s="95" t="s">
        <v>224</v>
      </c>
      <c r="D105" s="98">
        <v>0.0316</v>
      </c>
      <c r="E105" s="90">
        <f t="shared" si="3"/>
        <v>5663.34</v>
      </c>
      <c r="F105" s="98">
        <v>0.0316</v>
      </c>
      <c r="G105" s="90">
        <f t="shared" si="4"/>
        <v>5819.13</v>
      </c>
    </row>
    <row r="106" spans="3:7" ht="12.75">
      <c r="C106" s="97" t="s">
        <v>225</v>
      </c>
      <c r="D106" s="98">
        <v>0.0725</v>
      </c>
      <c r="E106" s="90">
        <f t="shared" si="3"/>
        <v>5812.625</v>
      </c>
      <c r="F106" s="98">
        <v>0.0725</v>
      </c>
      <c r="G106" s="90">
        <f t="shared" si="4"/>
        <v>5969.4375</v>
      </c>
    </row>
    <row r="107" spans="3:7" ht="12.75">
      <c r="C107" s="95" t="s">
        <v>226</v>
      </c>
      <c r="D107" s="98">
        <v>0.1541</v>
      </c>
      <c r="E107" s="90">
        <f t="shared" si="3"/>
        <v>6110.465</v>
      </c>
      <c r="F107" s="98">
        <v>0.1541</v>
      </c>
      <c r="G107" s="90">
        <f t="shared" si="4"/>
        <v>6269.3175</v>
      </c>
    </row>
    <row r="108" spans="3:7" ht="12.75">
      <c r="C108" s="95" t="s">
        <v>227</v>
      </c>
      <c r="D108" s="98">
        <v>0.4459</v>
      </c>
      <c r="E108" s="90">
        <f t="shared" si="3"/>
        <v>7175.535</v>
      </c>
      <c r="F108" s="98">
        <v>0.4209</v>
      </c>
      <c r="G108" s="90">
        <f t="shared" si="4"/>
        <v>7249.8075</v>
      </c>
    </row>
    <row r="109" spans="3:7" ht="12.75">
      <c r="C109" s="96" t="s">
        <v>228</v>
      </c>
      <c r="D109" s="98">
        <v>0.1453</v>
      </c>
      <c r="E109" s="90">
        <f t="shared" si="3"/>
        <v>6078.345</v>
      </c>
      <c r="F109" s="98">
        <v>0.1354</v>
      </c>
      <c r="G109" s="90">
        <f t="shared" si="4"/>
        <v>6200.595</v>
      </c>
    </row>
    <row r="110" spans="3:7" ht="12.75">
      <c r="C110" s="95" t="s">
        <v>229</v>
      </c>
      <c r="D110" s="98">
        <v>0.1608</v>
      </c>
      <c r="E110" s="90">
        <f t="shared" si="3"/>
        <v>6134.92</v>
      </c>
      <c r="F110" s="98">
        <v>0.1381</v>
      </c>
      <c r="G110" s="90">
        <f t="shared" si="4"/>
        <v>6210.5175</v>
      </c>
    </row>
    <row r="111" spans="3:7" ht="12.75">
      <c r="C111" s="95" t="s">
        <v>230</v>
      </c>
      <c r="D111" s="98">
        <v>0.2101</v>
      </c>
      <c r="E111" s="90">
        <f t="shared" si="3"/>
        <v>6314.865</v>
      </c>
      <c r="F111" s="98">
        <v>0.1851</v>
      </c>
      <c r="G111" s="90">
        <f t="shared" si="4"/>
        <v>6383.2425</v>
      </c>
    </row>
    <row r="112" spans="3:7" ht="12.75">
      <c r="C112" s="95" t="s">
        <v>231</v>
      </c>
      <c r="D112" s="98">
        <v>0.104</v>
      </c>
      <c r="E112" s="90">
        <f t="shared" si="3"/>
        <v>5927.6</v>
      </c>
      <c r="F112" s="98">
        <v>0.104</v>
      </c>
      <c r="G112" s="90">
        <f t="shared" si="4"/>
        <v>6085.2</v>
      </c>
    </row>
    <row r="113" spans="3:7" ht="12.75">
      <c r="C113" s="95" t="s">
        <v>232</v>
      </c>
      <c r="D113" s="98">
        <v>0.1327</v>
      </c>
      <c r="E113" s="90">
        <f t="shared" si="3"/>
        <v>6032.355</v>
      </c>
      <c r="F113" s="98">
        <v>0.1327</v>
      </c>
      <c r="G113" s="90">
        <f t="shared" si="4"/>
        <v>6190.6725</v>
      </c>
    </row>
    <row r="114" spans="3:7" ht="12.75">
      <c r="C114" s="95" t="s">
        <v>233</v>
      </c>
      <c r="D114" s="98">
        <v>0.2441</v>
      </c>
      <c r="E114" s="90">
        <f t="shared" si="3"/>
        <v>6438.965</v>
      </c>
      <c r="F114" s="98">
        <v>0.2192</v>
      </c>
      <c r="G114" s="90">
        <f t="shared" si="4"/>
        <v>6508.56</v>
      </c>
    </row>
    <row r="115" spans="3:7" ht="12.75">
      <c r="C115" s="95" t="s">
        <v>234</v>
      </c>
      <c r="D115" s="98">
        <v>0.3544</v>
      </c>
      <c r="E115" s="90">
        <f t="shared" si="3"/>
        <v>6841.5599999999995</v>
      </c>
      <c r="F115" s="98">
        <v>0.3304</v>
      </c>
      <c r="G115" s="90">
        <f t="shared" si="4"/>
        <v>6917.22</v>
      </c>
    </row>
    <row r="116" spans="3:7" ht="12.75">
      <c r="C116" s="95" t="s">
        <v>235</v>
      </c>
      <c r="D116" s="98">
        <v>0.2868</v>
      </c>
      <c r="E116" s="90">
        <f t="shared" si="3"/>
        <v>6594.82</v>
      </c>
      <c r="F116" s="98">
        <v>0.2733</v>
      </c>
      <c r="G116" s="90">
        <f t="shared" si="4"/>
        <v>6707.3775</v>
      </c>
    </row>
    <row r="117" spans="3:7" ht="12.75">
      <c r="C117" s="97" t="s">
        <v>236</v>
      </c>
      <c r="D117" s="98">
        <v>0.0605</v>
      </c>
      <c r="E117" s="90">
        <f t="shared" si="3"/>
        <v>5768.825</v>
      </c>
      <c r="F117" s="98">
        <v>0.0605</v>
      </c>
      <c r="G117" s="90">
        <f t="shared" si="4"/>
        <v>5925.3375</v>
      </c>
    </row>
    <row r="118" spans="3:7" ht="12.75">
      <c r="C118" s="97" t="s">
        <v>237</v>
      </c>
      <c r="D118" s="98">
        <v>0.4819</v>
      </c>
      <c r="E118" s="90">
        <f t="shared" si="3"/>
        <v>7306.9349999999995</v>
      </c>
      <c r="F118" s="98">
        <v>0.4569</v>
      </c>
      <c r="G118" s="90">
        <f t="shared" si="4"/>
        <v>7382.1075</v>
      </c>
    </row>
    <row r="119" spans="3:7" ht="12.75">
      <c r="C119" s="97" t="s">
        <v>238</v>
      </c>
      <c r="D119" s="98">
        <v>0.3575</v>
      </c>
      <c r="E119" s="90">
        <f t="shared" si="3"/>
        <v>6852.875</v>
      </c>
      <c r="F119" s="98">
        <v>0.3325</v>
      </c>
      <c r="G119" s="90">
        <f t="shared" si="4"/>
        <v>6924.9375</v>
      </c>
    </row>
    <row r="120" spans="3:7" ht="12.75">
      <c r="C120" s="97" t="s">
        <v>239</v>
      </c>
      <c r="D120" s="98">
        <v>0.1256</v>
      </c>
      <c r="E120" s="90">
        <f t="shared" si="3"/>
        <v>6006.44</v>
      </c>
      <c r="F120" s="98">
        <v>0.1256</v>
      </c>
      <c r="G120" s="90">
        <f t="shared" si="4"/>
        <v>6164.58</v>
      </c>
    </row>
    <row r="121" spans="3:7" ht="12.75">
      <c r="C121" s="95" t="s">
        <v>240</v>
      </c>
      <c r="D121" s="98">
        <v>0.0561</v>
      </c>
      <c r="E121" s="90">
        <f t="shared" si="3"/>
        <v>5752.765</v>
      </c>
      <c r="F121" s="98">
        <v>0.0561</v>
      </c>
      <c r="G121" s="90">
        <f t="shared" si="4"/>
        <v>5909.1675</v>
      </c>
    </row>
    <row r="122" spans="3:7" ht="12.75">
      <c r="C122" s="95" t="s">
        <v>241</v>
      </c>
      <c r="D122" s="98">
        <v>0.2158</v>
      </c>
      <c r="E122" s="90">
        <f t="shared" si="3"/>
        <v>6335.67</v>
      </c>
      <c r="F122" s="98">
        <v>0.1951</v>
      </c>
      <c r="G122" s="90">
        <f t="shared" si="4"/>
        <v>6419.9925</v>
      </c>
    </row>
    <row r="123" spans="3:7" ht="12.75">
      <c r="C123" s="95" t="s">
        <v>242</v>
      </c>
      <c r="D123" s="98">
        <v>0.1786</v>
      </c>
      <c r="E123" s="90">
        <f t="shared" si="3"/>
        <v>6199.89</v>
      </c>
      <c r="F123" s="98">
        <v>0.1625</v>
      </c>
      <c r="G123" s="90">
        <f t="shared" si="4"/>
        <v>6300.1875</v>
      </c>
    </row>
    <row r="124" spans="3:7" ht="12.75">
      <c r="C124" s="95" t="s">
        <v>243</v>
      </c>
      <c r="D124" s="98">
        <v>0.1363</v>
      </c>
      <c r="E124" s="90">
        <f t="shared" si="3"/>
        <v>6045.495</v>
      </c>
      <c r="F124" s="98">
        <v>0.121</v>
      </c>
      <c r="G124" s="90">
        <f t="shared" si="4"/>
        <v>6147.675</v>
      </c>
    </row>
    <row r="125" spans="3:7" ht="12.75">
      <c r="C125" s="95" t="s">
        <v>433</v>
      </c>
      <c r="D125" s="98">
        <v>0.1386</v>
      </c>
      <c r="E125" s="90">
        <f t="shared" si="3"/>
        <v>6053.89</v>
      </c>
      <c r="F125" s="98">
        <v>0.1221</v>
      </c>
      <c r="G125" s="90">
        <f t="shared" si="4"/>
        <v>6151.7175</v>
      </c>
    </row>
    <row r="126" spans="3:7" ht="12.75">
      <c r="C126" s="95" t="s">
        <v>244</v>
      </c>
      <c r="D126" s="98">
        <v>0.2288</v>
      </c>
      <c r="E126" s="90">
        <f t="shared" si="3"/>
        <v>6383.12</v>
      </c>
      <c r="F126" s="98">
        <v>0.2288</v>
      </c>
      <c r="G126" s="90">
        <f t="shared" si="4"/>
        <v>6543.84</v>
      </c>
    </row>
    <row r="127" spans="3:7" ht="12.75">
      <c r="C127" s="95" t="s">
        <v>245</v>
      </c>
      <c r="D127" s="98">
        <v>0.1728</v>
      </c>
      <c r="E127" s="90">
        <f t="shared" si="3"/>
        <v>6178.72</v>
      </c>
      <c r="F127" s="98">
        <v>0.1728</v>
      </c>
      <c r="G127" s="90">
        <f t="shared" si="4"/>
        <v>6338.04</v>
      </c>
    </row>
    <row r="128" spans="3:7" ht="12.75">
      <c r="C128" s="95" t="s">
        <v>246</v>
      </c>
      <c r="D128" s="98">
        <v>0.2154</v>
      </c>
      <c r="E128" s="90">
        <f t="shared" si="3"/>
        <v>6334.21</v>
      </c>
      <c r="F128" s="98">
        <v>0.1904</v>
      </c>
      <c r="G128" s="90">
        <f t="shared" si="4"/>
        <v>6402.72</v>
      </c>
    </row>
    <row r="129" spans="3:7" ht="12.75">
      <c r="C129" s="96" t="s">
        <v>247</v>
      </c>
      <c r="D129" s="98">
        <v>0.1205</v>
      </c>
      <c r="E129" s="90">
        <f t="shared" si="3"/>
        <v>5987.825</v>
      </c>
      <c r="F129" s="98">
        <v>0.109</v>
      </c>
      <c r="G129" s="90">
        <f t="shared" si="4"/>
        <v>6103.575</v>
      </c>
    </row>
    <row r="130" spans="3:7" ht="12.75">
      <c r="C130" s="95" t="s">
        <v>248</v>
      </c>
      <c r="D130" s="98">
        <v>0.1384</v>
      </c>
      <c r="E130" s="90">
        <f t="shared" si="3"/>
        <v>6053.16</v>
      </c>
      <c r="F130" s="98">
        <v>0.1275</v>
      </c>
      <c r="G130" s="90">
        <f t="shared" si="4"/>
        <v>6171.5625</v>
      </c>
    </row>
    <row r="131" spans="3:7" ht="12.75">
      <c r="C131" s="95" t="s">
        <v>249</v>
      </c>
      <c r="D131" s="98">
        <v>0.1066</v>
      </c>
      <c r="E131" s="90">
        <f t="shared" si="3"/>
        <v>5937.09</v>
      </c>
      <c r="F131" s="98">
        <v>0.1066</v>
      </c>
      <c r="G131" s="90">
        <f t="shared" si="4"/>
        <v>6094.755</v>
      </c>
    </row>
    <row r="132" spans="3:7" ht="12.75">
      <c r="C132" s="95" t="s">
        <v>250</v>
      </c>
      <c r="D132" s="98">
        <v>0.2471</v>
      </c>
      <c r="E132" s="90">
        <f t="shared" si="3"/>
        <v>6449.915</v>
      </c>
      <c r="F132" s="98">
        <v>0.2471</v>
      </c>
      <c r="G132" s="90">
        <f t="shared" si="4"/>
        <v>6611.0925</v>
      </c>
    </row>
    <row r="133" spans="3:7" ht="12.75">
      <c r="C133" s="95" t="s">
        <v>251</v>
      </c>
      <c r="D133" s="98">
        <v>0.2379</v>
      </c>
      <c r="E133" s="90">
        <f t="shared" si="3"/>
        <v>6416.335</v>
      </c>
      <c r="F133" s="98">
        <v>0.2332</v>
      </c>
      <c r="G133" s="90">
        <f t="shared" si="4"/>
        <v>6560.01</v>
      </c>
    </row>
    <row r="134" spans="3:7" ht="12.75">
      <c r="C134" s="95" t="s">
        <v>252</v>
      </c>
      <c r="D134" s="98">
        <v>0.1872</v>
      </c>
      <c r="E134" s="90">
        <f t="shared" si="3"/>
        <v>6231.28</v>
      </c>
      <c r="F134" s="98">
        <v>0.1872</v>
      </c>
      <c r="G134" s="90">
        <f t="shared" si="4"/>
        <v>6390.96</v>
      </c>
    </row>
    <row r="135" spans="3:7" ht="12.75">
      <c r="C135" s="95" t="s">
        <v>253</v>
      </c>
      <c r="D135" s="98">
        <v>0.199</v>
      </c>
      <c r="E135" s="90">
        <f t="shared" si="3"/>
        <v>6274.35</v>
      </c>
      <c r="F135" s="98">
        <v>0.1988</v>
      </c>
      <c r="G135" s="90">
        <f t="shared" si="4"/>
        <v>6433.59</v>
      </c>
    </row>
    <row r="136" spans="3:7" ht="12.75">
      <c r="C136" s="95" t="s">
        <v>254</v>
      </c>
      <c r="D136" s="98">
        <v>0.1121</v>
      </c>
      <c r="E136" s="90">
        <f t="shared" si="3"/>
        <v>5957.165</v>
      </c>
      <c r="F136" s="98">
        <v>0.1121</v>
      </c>
      <c r="G136" s="90">
        <f t="shared" si="4"/>
        <v>6114.9675</v>
      </c>
    </row>
    <row r="137" spans="3:7" ht="12.75">
      <c r="C137" s="95" t="s">
        <v>255</v>
      </c>
      <c r="D137" s="98">
        <v>0.1531</v>
      </c>
      <c r="E137" s="90">
        <f t="shared" si="3"/>
        <v>6106.8150000000005</v>
      </c>
      <c r="F137" s="98">
        <v>0.1493</v>
      </c>
      <c r="G137" s="90">
        <f t="shared" si="4"/>
        <v>6251.6775</v>
      </c>
    </row>
    <row r="138" spans="3:7" ht="12.75">
      <c r="C138" s="95" t="s">
        <v>256</v>
      </c>
      <c r="D138" s="98">
        <v>0.2441</v>
      </c>
      <c r="E138" s="90">
        <f t="shared" si="3"/>
        <v>6438.965</v>
      </c>
      <c r="F138" s="98">
        <v>0.2315</v>
      </c>
      <c r="G138" s="90">
        <f t="shared" si="4"/>
        <v>6553.7625</v>
      </c>
    </row>
    <row r="139" spans="3:7" ht="12.75">
      <c r="C139" s="95" t="s">
        <v>257</v>
      </c>
      <c r="D139" s="98">
        <v>0.2364</v>
      </c>
      <c r="E139" s="90">
        <f t="shared" si="3"/>
        <v>6410.86</v>
      </c>
      <c r="F139" s="98">
        <v>0.2264</v>
      </c>
      <c r="G139" s="90">
        <f t="shared" si="4"/>
        <v>6535.02</v>
      </c>
    </row>
    <row r="140" spans="3:7" ht="12.75">
      <c r="C140" s="95" t="s">
        <v>258</v>
      </c>
      <c r="D140" s="98">
        <v>0.2416</v>
      </c>
      <c r="E140" s="90">
        <f t="shared" si="3"/>
        <v>6429.84</v>
      </c>
      <c r="F140" s="98">
        <v>0.2416</v>
      </c>
      <c r="G140" s="90">
        <f t="shared" si="4"/>
        <v>6590.88</v>
      </c>
    </row>
    <row r="141" spans="3:7" ht="12.75">
      <c r="C141" s="95" t="s">
        <v>259</v>
      </c>
      <c r="D141" s="98">
        <v>0.0487</v>
      </c>
      <c r="E141" s="90">
        <f t="shared" si="3"/>
        <v>5725.755</v>
      </c>
      <c r="F141" s="98">
        <v>0.0487</v>
      </c>
      <c r="G141" s="90">
        <f t="shared" si="4"/>
        <v>5881.9725</v>
      </c>
    </row>
    <row r="142" spans="3:7" ht="12.75">
      <c r="C142" s="95" t="s">
        <v>260</v>
      </c>
      <c r="D142" s="98">
        <v>0.1412</v>
      </c>
      <c r="E142" s="90">
        <f t="shared" si="3"/>
        <v>6063.38</v>
      </c>
      <c r="F142" s="98">
        <v>0.1412</v>
      </c>
      <c r="G142" s="90">
        <f t="shared" si="4"/>
        <v>6221.91</v>
      </c>
    </row>
    <row r="143" spans="3:7" ht="12.75">
      <c r="C143" s="95" t="s">
        <v>261</v>
      </c>
      <c r="D143" s="98">
        <v>0.161</v>
      </c>
      <c r="E143" s="90">
        <f t="shared" si="3"/>
        <v>6135.65</v>
      </c>
      <c r="F143" s="98">
        <v>0.1517</v>
      </c>
      <c r="G143" s="90">
        <f t="shared" si="4"/>
        <v>6260.4975</v>
      </c>
    </row>
    <row r="144" spans="3:7" ht="12.75">
      <c r="C144" s="95" t="s">
        <v>262</v>
      </c>
      <c r="D144" s="98">
        <v>0.1423</v>
      </c>
      <c r="E144" s="90">
        <f t="shared" si="3"/>
        <v>6067.395</v>
      </c>
      <c r="F144" s="98">
        <v>0.1173</v>
      </c>
      <c r="G144" s="90">
        <f t="shared" si="4"/>
        <v>6134.0775</v>
      </c>
    </row>
    <row r="145" spans="3:7" ht="12.75">
      <c r="C145" s="95" t="s">
        <v>263</v>
      </c>
      <c r="D145" s="98">
        <v>0.3236</v>
      </c>
      <c r="E145" s="90">
        <f aca="true" t="shared" si="5" ref="E145:E208">(D145*$J$19)+$J$18</f>
        <v>6729.14</v>
      </c>
      <c r="F145" s="98">
        <v>0.3008</v>
      </c>
      <c r="G145" s="90">
        <f t="shared" si="4"/>
        <v>6808.4400000000005</v>
      </c>
    </row>
    <row r="146" spans="3:7" ht="12.75">
      <c r="C146" s="95" t="s">
        <v>264</v>
      </c>
      <c r="D146" s="98">
        <v>0.2162</v>
      </c>
      <c r="E146" s="90">
        <f t="shared" si="5"/>
        <v>6337.13</v>
      </c>
      <c r="F146" s="98">
        <v>0.2021</v>
      </c>
      <c r="G146" s="90">
        <f t="shared" si="4"/>
        <v>6445.7175</v>
      </c>
    </row>
    <row r="147" spans="3:7" ht="12.75">
      <c r="C147" s="95" t="s">
        <v>265</v>
      </c>
      <c r="D147" s="98">
        <v>0.2997</v>
      </c>
      <c r="E147" s="90">
        <f t="shared" si="5"/>
        <v>6641.905</v>
      </c>
      <c r="F147" s="98">
        <v>0.2747</v>
      </c>
      <c r="G147" s="90">
        <f aca="true" t="shared" si="6" ref="G147:G210">(F147*$K$19)+$K$18</f>
        <v>6712.5225</v>
      </c>
    </row>
    <row r="148" spans="3:7" ht="12.75">
      <c r="C148" s="95" t="s">
        <v>266</v>
      </c>
      <c r="D148" s="98">
        <v>0.2119</v>
      </c>
      <c r="E148" s="90">
        <f t="shared" si="5"/>
        <v>6321.435</v>
      </c>
      <c r="F148" s="98">
        <v>0.2074</v>
      </c>
      <c r="G148" s="90">
        <f t="shared" si="6"/>
        <v>6465.195</v>
      </c>
    </row>
    <row r="149" spans="3:7" ht="12.75">
      <c r="C149" s="95" t="s">
        <v>267</v>
      </c>
      <c r="D149" s="98">
        <v>0.1922</v>
      </c>
      <c r="E149" s="90">
        <f t="shared" si="5"/>
        <v>6249.53</v>
      </c>
      <c r="F149" s="98">
        <v>0.1712</v>
      </c>
      <c r="G149" s="90">
        <f t="shared" si="6"/>
        <v>6332.16</v>
      </c>
    </row>
    <row r="150" spans="3:7" ht="12.75">
      <c r="C150" s="95" t="s">
        <v>268</v>
      </c>
      <c r="D150" s="98">
        <v>0.1942</v>
      </c>
      <c r="E150" s="90">
        <f t="shared" si="5"/>
        <v>6256.83</v>
      </c>
      <c r="F150" s="98">
        <v>0.1942</v>
      </c>
      <c r="G150" s="90">
        <f t="shared" si="6"/>
        <v>6416.685</v>
      </c>
    </row>
    <row r="151" spans="3:7" ht="12.75">
      <c r="C151" s="95" t="s">
        <v>269</v>
      </c>
      <c r="D151" s="98">
        <v>0.1367</v>
      </c>
      <c r="E151" s="90">
        <f t="shared" si="5"/>
        <v>6046.955</v>
      </c>
      <c r="F151" s="98">
        <v>0.1367</v>
      </c>
      <c r="G151" s="90">
        <f t="shared" si="6"/>
        <v>6205.3724999999995</v>
      </c>
    </row>
    <row r="152" spans="3:7" ht="12.75">
      <c r="C152" s="95" t="s">
        <v>270</v>
      </c>
      <c r="D152" s="98">
        <v>0.4423</v>
      </c>
      <c r="E152" s="90">
        <f t="shared" si="5"/>
        <v>7162.395</v>
      </c>
      <c r="F152" s="98">
        <v>0.4299</v>
      </c>
      <c r="G152" s="90">
        <f t="shared" si="6"/>
        <v>7282.8825</v>
      </c>
    </row>
    <row r="153" spans="3:7" ht="12.75">
      <c r="C153" s="95" t="s">
        <v>271</v>
      </c>
      <c r="D153" s="98">
        <v>0.3513</v>
      </c>
      <c r="E153" s="90">
        <f t="shared" si="5"/>
        <v>6830.245</v>
      </c>
      <c r="F153" s="98">
        <v>0.3263</v>
      </c>
      <c r="G153" s="90">
        <f t="shared" si="6"/>
        <v>6902.1525</v>
      </c>
    </row>
    <row r="154" spans="3:7" ht="12.75">
      <c r="C154" s="97" t="s">
        <v>272</v>
      </c>
      <c r="D154" s="98">
        <v>0.2454</v>
      </c>
      <c r="E154" s="90">
        <f t="shared" si="5"/>
        <v>6443.71</v>
      </c>
      <c r="F154" s="98">
        <v>0.2454</v>
      </c>
      <c r="G154" s="90">
        <f t="shared" si="6"/>
        <v>6604.845</v>
      </c>
    </row>
    <row r="155" spans="3:7" ht="12.75">
      <c r="C155" s="95" t="s">
        <v>273</v>
      </c>
      <c r="D155" s="98">
        <v>0.4175</v>
      </c>
      <c r="E155" s="90">
        <f t="shared" si="5"/>
        <v>7071.875</v>
      </c>
      <c r="F155" s="98">
        <v>0.3953</v>
      </c>
      <c r="G155" s="90">
        <f t="shared" si="6"/>
        <v>7155.7275</v>
      </c>
    </row>
    <row r="156" spans="3:7" ht="12.75">
      <c r="C156" s="95" t="s">
        <v>274</v>
      </c>
      <c r="D156" s="98">
        <v>0.0401</v>
      </c>
      <c r="E156" s="90">
        <f t="shared" si="5"/>
        <v>5694.365</v>
      </c>
      <c r="F156" s="98">
        <v>0.039</v>
      </c>
      <c r="G156" s="90">
        <f t="shared" si="6"/>
        <v>5846.325</v>
      </c>
    </row>
    <row r="157" spans="3:7" ht="12.75">
      <c r="C157" s="95" t="s">
        <v>275</v>
      </c>
      <c r="D157" s="98">
        <v>0.1505</v>
      </c>
      <c r="E157" s="90">
        <f t="shared" si="5"/>
        <v>6097.325</v>
      </c>
      <c r="F157" s="98">
        <v>0.1505</v>
      </c>
      <c r="G157" s="90">
        <f t="shared" si="6"/>
        <v>6256.0875</v>
      </c>
    </row>
    <row r="158" spans="3:7" ht="12.75">
      <c r="C158" s="95" t="s">
        <v>276</v>
      </c>
      <c r="D158" s="98">
        <v>0.066</v>
      </c>
      <c r="E158" s="90">
        <f t="shared" si="5"/>
        <v>5788.9</v>
      </c>
      <c r="F158" s="98">
        <v>0.066</v>
      </c>
      <c r="G158" s="90">
        <f t="shared" si="6"/>
        <v>5945.55</v>
      </c>
    </row>
    <row r="159" spans="3:7" ht="12.75">
      <c r="C159" s="95" t="s">
        <v>277</v>
      </c>
      <c r="D159" s="98">
        <v>0.2691</v>
      </c>
      <c r="E159" s="90">
        <f t="shared" si="5"/>
        <v>6530.215</v>
      </c>
      <c r="F159" s="98">
        <v>0.2614</v>
      </c>
      <c r="G159" s="90">
        <f t="shared" si="6"/>
        <v>6663.645</v>
      </c>
    </row>
    <row r="160" spans="3:7" ht="12.75">
      <c r="C160" s="95" t="s">
        <v>278</v>
      </c>
      <c r="D160" s="98">
        <v>0.2112</v>
      </c>
      <c r="E160" s="90">
        <f t="shared" si="5"/>
        <v>6318.88</v>
      </c>
      <c r="F160" s="98">
        <v>0.2112</v>
      </c>
      <c r="G160" s="90">
        <f t="shared" si="6"/>
        <v>6479.16</v>
      </c>
    </row>
    <row r="161" spans="3:7" ht="12.75">
      <c r="C161" s="95" t="s">
        <v>279</v>
      </c>
      <c r="D161" s="98">
        <v>0.1876</v>
      </c>
      <c r="E161" s="90">
        <f t="shared" si="5"/>
        <v>6232.74</v>
      </c>
      <c r="F161" s="98">
        <v>0.1626</v>
      </c>
      <c r="G161" s="90">
        <f t="shared" si="6"/>
        <v>6300.555</v>
      </c>
    </row>
    <row r="162" spans="3:7" ht="12.75">
      <c r="C162" s="95" t="s">
        <v>280</v>
      </c>
      <c r="D162" s="98">
        <v>0.1516</v>
      </c>
      <c r="E162" s="90">
        <f t="shared" si="5"/>
        <v>6101.34</v>
      </c>
      <c r="F162" s="98">
        <v>0.1516</v>
      </c>
      <c r="G162" s="90">
        <f t="shared" si="6"/>
        <v>6260.13</v>
      </c>
    </row>
    <row r="163" spans="3:7" ht="12.75">
      <c r="C163" s="95" t="s">
        <v>281</v>
      </c>
      <c r="D163" s="98">
        <v>0.1156</v>
      </c>
      <c r="E163" s="90">
        <f t="shared" si="5"/>
        <v>5969.94</v>
      </c>
      <c r="F163" s="98">
        <v>0.1156</v>
      </c>
      <c r="G163" s="90">
        <f t="shared" si="6"/>
        <v>6127.83</v>
      </c>
    </row>
    <row r="164" spans="3:7" ht="12.75">
      <c r="C164" s="95" t="s">
        <v>282</v>
      </c>
      <c r="D164" s="98">
        <v>0.1382</v>
      </c>
      <c r="E164" s="90">
        <f t="shared" si="5"/>
        <v>6052.43</v>
      </c>
      <c r="F164" s="98">
        <v>0.1382</v>
      </c>
      <c r="G164" s="90">
        <f t="shared" si="6"/>
        <v>6210.885</v>
      </c>
    </row>
    <row r="165" spans="3:7" ht="12.75">
      <c r="C165" s="95" t="s">
        <v>283</v>
      </c>
      <c r="D165" s="98">
        <v>0.0741</v>
      </c>
      <c r="E165" s="90">
        <f t="shared" si="5"/>
        <v>5818.465</v>
      </c>
      <c r="F165" s="98">
        <v>0.0741</v>
      </c>
      <c r="G165" s="90">
        <f t="shared" si="6"/>
        <v>5975.3175</v>
      </c>
    </row>
    <row r="166" spans="3:7" ht="12.75">
      <c r="C166" s="95" t="s">
        <v>284</v>
      </c>
      <c r="D166" s="98">
        <v>0.456</v>
      </c>
      <c r="E166" s="90">
        <f t="shared" si="5"/>
        <v>7212.4</v>
      </c>
      <c r="F166" s="98">
        <v>0.4375</v>
      </c>
      <c r="G166" s="90">
        <f t="shared" si="6"/>
        <v>7310.8125</v>
      </c>
    </row>
    <row r="167" spans="3:7" ht="12.75">
      <c r="C167" s="95" t="s">
        <v>285</v>
      </c>
      <c r="D167" s="98">
        <v>0.1227</v>
      </c>
      <c r="E167" s="90">
        <f t="shared" si="5"/>
        <v>5995.855</v>
      </c>
      <c r="F167" s="98">
        <v>0.1193</v>
      </c>
      <c r="G167" s="90">
        <f t="shared" si="6"/>
        <v>6141.4275</v>
      </c>
    </row>
    <row r="168" spans="3:7" ht="12.75">
      <c r="C168" s="95" t="s">
        <v>286</v>
      </c>
      <c r="D168" s="98">
        <v>0.1659</v>
      </c>
      <c r="E168" s="90">
        <f t="shared" si="5"/>
        <v>6153.535</v>
      </c>
      <c r="F168" s="98">
        <v>0.1648</v>
      </c>
      <c r="G168" s="90">
        <f t="shared" si="6"/>
        <v>6308.64</v>
      </c>
    </row>
    <row r="169" spans="3:7" ht="12.75">
      <c r="C169" s="95" t="s">
        <v>287</v>
      </c>
      <c r="D169" s="98">
        <v>0.268</v>
      </c>
      <c r="E169" s="90">
        <f t="shared" si="5"/>
        <v>6526.2</v>
      </c>
      <c r="F169" s="98">
        <v>0.2545</v>
      </c>
      <c r="G169" s="90">
        <f t="shared" si="6"/>
        <v>6638.2875</v>
      </c>
    </row>
    <row r="170" spans="3:7" ht="12.75">
      <c r="C170" s="95" t="s">
        <v>288</v>
      </c>
      <c r="D170" s="98">
        <v>0.1058</v>
      </c>
      <c r="E170" s="90">
        <f t="shared" si="5"/>
        <v>5934.17</v>
      </c>
      <c r="F170" s="98">
        <v>0.0898</v>
      </c>
      <c r="G170" s="90">
        <f t="shared" si="6"/>
        <v>6033.015</v>
      </c>
    </row>
    <row r="171" spans="3:7" ht="12.75">
      <c r="C171" s="95" t="s">
        <v>289</v>
      </c>
      <c r="D171" s="98">
        <v>0.0932</v>
      </c>
      <c r="E171" s="90">
        <f t="shared" si="5"/>
        <v>5888.18</v>
      </c>
      <c r="F171" s="98">
        <v>0.0932</v>
      </c>
      <c r="G171" s="90">
        <f t="shared" si="6"/>
        <v>6045.51</v>
      </c>
    </row>
    <row r="172" spans="3:7" ht="12.75">
      <c r="C172" s="95" t="s">
        <v>290</v>
      </c>
      <c r="D172" s="98">
        <v>0.0664</v>
      </c>
      <c r="E172" s="90">
        <f t="shared" si="5"/>
        <v>5790.36</v>
      </c>
      <c r="F172" s="98">
        <v>0.0664</v>
      </c>
      <c r="G172" s="90">
        <f t="shared" si="6"/>
        <v>5947.02</v>
      </c>
    </row>
    <row r="173" spans="3:7" ht="12.75">
      <c r="C173" s="95" t="s">
        <v>291</v>
      </c>
      <c r="D173" s="98">
        <v>0.185</v>
      </c>
      <c r="E173" s="90">
        <f t="shared" si="5"/>
        <v>6223.25</v>
      </c>
      <c r="F173" s="98">
        <v>0.185</v>
      </c>
      <c r="G173" s="90">
        <f t="shared" si="6"/>
        <v>6382.875</v>
      </c>
    </row>
    <row r="174" spans="3:7" ht="12.75">
      <c r="C174" s="95" t="s">
        <v>292</v>
      </c>
      <c r="D174" s="98">
        <v>0.235</v>
      </c>
      <c r="E174" s="90">
        <f t="shared" si="5"/>
        <v>6405.75</v>
      </c>
      <c r="F174" s="98">
        <v>0.2258</v>
      </c>
      <c r="G174" s="90">
        <f t="shared" si="6"/>
        <v>6532.8150000000005</v>
      </c>
    </row>
    <row r="175" spans="3:7" ht="12.75">
      <c r="C175" s="95" t="s">
        <v>293</v>
      </c>
      <c r="D175" s="98">
        <v>0.1253</v>
      </c>
      <c r="E175" s="90">
        <f t="shared" si="5"/>
        <v>6005.345</v>
      </c>
      <c r="F175" s="98">
        <v>0.1253</v>
      </c>
      <c r="G175" s="90">
        <f t="shared" si="6"/>
        <v>6163.4775</v>
      </c>
    </row>
    <row r="176" spans="3:7" ht="12.75">
      <c r="C176" s="95" t="s">
        <v>294</v>
      </c>
      <c r="D176" s="98">
        <v>0.2272</v>
      </c>
      <c r="E176" s="90">
        <f t="shared" si="5"/>
        <v>6377.28</v>
      </c>
      <c r="F176" s="98">
        <v>0.2098</v>
      </c>
      <c r="G176" s="90">
        <f t="shared" si="6"/>
        <v>6474.015</v>
      </c>
    </row>
    <row r="177" spans="3:7" ht="12.75">
      <c r="C177" s="95" t="s">
        <v>295</v>
      </c>
      <c r="D177" s="98">
        <v>0.1461</v>
      </c>
      <c r="E177" s="90">
        <f t="shared" si="5"/>
        <v>6081.265</v>
      </c>
      <c r="F177" s="98">
        <v>0.1282</v>
      </c>
      <c r="G177" s="90">
        <f t="shared" si="6"/>
        <v>6174.135</v>
      </c>
    </row>
    <row r="178" spans="3:7" ht="12.75">
      <c r="C178" s="95" t="s">
        <v>296</v>
      </c>
      <c r="D178" s="98">
        <v>0.2719</v>
      </c>
      <c r="E178" s="90">
        <f t="shared" si="5"/>
        <v>6540.4349999999995</v>
      </c>
      <c r="F178" s="98">
        <v>0.2719</v>
      </c>
      <c r="G178" s="90">
        <f t="shared" si="6"/>
        <v>6702.2325</v>
      </c>
    </row>
    <row r="179" spans="3:7" ht="12.75">
      <c r="C179" s="95" t="s">
        <v>297</v>
      </c>
      <c r="D179" s="98">
        <v>0.2439</v>
      </c>
      <c r="E179" s="90">
        <f t="shared" si="5"/>
        <v>6438.235</v>
      </c>
      <c r="F179" s="98">
        <v>0.2189</v>
      </c>
      <c r="G179" s="90">
        <f t="shared" si="6"/>
        <v>6507.4575</v>
      </c>
    </row>
    <row r="180" spans="3:7" ht="12.75">
      <c r="C180" s="95" t="s">
        <v>298</v>
      </c>
      <c r="D180" s="98">
        <v>0.1642</v>
      </c>
      <c r="E180" s="90">
        <f t="shared" si="5"/>
        <v>6147.33</v>
      </c>
      <c r="F180" s="98">
        <v>0.1632</v>
      </c>
      <c r="G180" s="90">
        <f t="shared" si="6"/>
        <v>6302.76</v>
      </c>
    </row>
    <row r="181" spans="3:7" ht="12.75">
      <c r="C181" s="96" t="s">
        <v>299</v>
      </c>
      <c r="D181" s="98">
        <v>0.1072</v>
      </c>
      <c r="E181" s="90">
        <f t="shared" si="5"/>
        <v>5939.28</v>
      </c>
      <c r="F181" s="98">
        <v>0.1037</v>
      </c>
      <c r="G181" s="90">
        <f t="shared" si="6"/>
        <v>6084.0975</v>
      </c>
    </row>
    <row r="182" spans="3:7" ht="12.75">
      <c r="C182" s="95" t="s">
        <v>300</v>
      </c>
      <c r="D182" s="98">
        <v>0.1111</v>
      </c>
      <c r="E182" s="90">
        <f t="shared" si="5"/>
        <v>5953.515</v>
      </c>
      <c r="F182" s="98">
        <v>0.1111</v>
      </c>
      <c r="G182" s="90">
        <f t="shared" si="6"/>
        <v>6111.2925</v>
      </c>
    </row>
    <row r="183" spans="3:7" ht="12.75">
      <c r="C183" s="95" t="s">
        <v>301</v>
      </c>
      <c r="D183" s="98">
        <v>0.1702</v>
      </c>
      <c r="E183" s="90">
        <f t="shared" si="5"/>
        <v>6169.23</v>
      </c>
      <c r="F183" s="98">
        <v>0.1595</v>
      </c>
      <c r="G183" s="90">
        <f t="shared" si="6"/>
        <v>6289.1625</v>
      </c>
    </row>
    <row r="184" spans="3:7" ht="12.75">
      <c r="C184" s="95" t="s">
        <v>302</v>
      </c>
      <c r="D184" s="98">
        <v>0.1433</v>
      </c>
      <c r="E184" s="90">
        <f t="shared" si="5"/>
        <v>6071.045</v>
      </c>
      <c r="F184" s="98">
        <v>0.1338</v>
      </c>
      <c r="G184" s="90">
        <f t="shared" si="6"/>
        <v>6194.715</v>
      </c>
    </row>
    <row r="185" spans="3:7" ht="12.75">
      <c r="C185" s="95" t="s">
        <v>303</v>
      </c>
      <c r="D185" s="98">
        <v>0.086</v>
      </c>
      <c r="E185" s="90">
        <f t="shared" si="5"/>
        <v>5861.9</v>
      </c>
      <c r="F185" s="98">
        <v>0.086</v>
      </c>
      <c r="G185" s="90">
        <f t="shared" si="6"/>
        <v>6019.05</v>
      </c>
    </row>
    <row r="186" spans="3:7" ht="12.75">
      <c r="C186" s="95" t="s">
        <v>304</v>
      </c>
      <c r="D186" s="98">
        <v>0.2032</v>
      </c>
      <c r="E186" s="90">
        <f t="shared" si="5"/>
        <v>6289.68</v>
      </c>
      <c r="F186" s="98">
        <v>0.1782</v>
      </c>
      <c r="G186" s="90">
        <f t="shared" si="6"/>
        <v>6357.885</v>
      </c>
    </row>
    <row r="187" spans="3:7" ht="12.75">
      <c r="C187" s="95" t="s">
        <v>305</v>
      </c>
      <c r="D187" s="98">
        <v>0.0419</v>
      </c>
      <c r="E187" s="90">
        <f t="shared" si="5"/>
        <v>5700.935</v>
      </c>
      <c r="F187" s="98">
        <v>0.0419</v>
      </c>
      <c r="G187" s="90">
        <f t="shared" si="6"/>
        <v>5856.9825</v>
      </c>
    </row>
    <row r="188" spans="3:7" ht="12.75">
      <c r="C188" s="95" t="s">
        <v>306</v>
      </c>
      <c r="D188" s="98">
        <v>0.1555</v>
      </c>
      <c r="E188" s="90">
        <f t="shared" si="5"/>
        <v>6115.575</v>
      </c>
      <c r="F188" s="98">
        <v>0.1528</v>
      </c>
      <c r="G188" s="90">
        <f t="shared" si="6"/>
        <v>6264.54</v>
      </c>
    </row>
    <row r="189" spans="3:7" ht="12.75">
      <c r="C189" s="95" t="s">
        <v>307</v>
      </c>
      <c r="D189" s="98">
        <v>0.0391</v>
      </c>
      <c r="E189" s="90">
        <f t="shared" si="5"/>
        <v>5690.715</v>
      </c>
      <c r="F189" s="98">
        <v>0.0391</v>
      </c>
      <c r="G189" s="90">
        <f t="shared" si="6"/>
        <v>5846.6925</v>
      </c>
    </row>
    <row r="190" spans="3:7" ht="12.75">
      <c r="C190" s="96" t="s">
        <v>308</v>
      </c>
      <c r="D190" s="98">
        <v>0.2201</v>
      </c>
      <c r="E190" s="90">
        <f t="shared" si="5"/>
        <v>6351.365</v>
      </c>
      <c r="F190" s="98">
        <v>0.2201</v>
      </c>
      <c r="G190" s="90">
        <f t="shared" si="6"/>
        <v>6511.8675</v>
      </c>
    </row>
    <row r="191" spans="3:7" ht="12.75">
      <c r="C191" s="95" t="s">
        <v>309</v>
      </c>
      <c r="D191" s="98">
        <v>0.1242</v>
      </c>
      <c r="E191" s="90">
        <f t="shared" si="5"/>
        <v>6001.33</v>
      </c>
      <c r="F191" s="98">
        <v>0.1242</v>
      </c>
      <c r="G191" s="90">
        <f t="shared" si="6"/>
        <v>6159.435</v>
      </c>
    </row>
    <row r="192" spans="3:7" ht="12.75">
      <c r="C192" s="95" t="s">
        <v>310</v>
      </c>
      <c r="D192" s="98">
        <v>0.072</v>
      </c>
      <c r="E192" s="90">
        <f t="shared" si="5"/>
        <v>5810.8</v>
      </c>
      <c r="F192" s="98">
        <v>0.0703</v>
      </c>
      <c r="G192" s="90">
        <f t="shared" si="6"/>
        <v>5961.3525</v>
      </c>
    </row>
    <row r="193" spans="3:7" ht="12.75">
      <c r="C193" s="95" t="s">
        <v>311</v>
      </c>
      <c r="D193" s="98">
        <v>0.0354</v>
      </c>
      <c r="E193" s="90">
        <f t="shared" si="5"/>
        <v>5677.21</v>
      </c>
      <c r="F193" s="98">
        <v>0.0354</v>
      </c>
      <c r="G193" s="90">
        <f t="shared" si="6"/>
        <v>5833.095</v>
      </c>
    </row>
    <row r="194" spans="3:7" ht="12.75">
      <c r="C194" s="95" t="s">
        <v>312</v>
      </c>
      <c r="D194" s="98">
        <v>0.105</v>
      </c>
      <c r="E194" s="90">
        <f t="shared" si="5"/>
        <v>5931.25</v>
      </c>
      <c r="F194" s="98">
        <v>0.105</v>
      </c>
      <c r="G194" s="90">
        <f t="shared" si="6"/>
        <v>6088.875</v>
      </c>
    </row>
    <row r="195" spans="3:7" ht="12.75">
      <c r="C195" s="95" t="s">
        <v>313</v>
      </c>
      <c r="D195" s="98">
        <v>0.0754</v>
      </c>
      <c r="E195" s="90">
        <f t="shared" si="5"/>
        <v>5823.21</v>
      </c>
      <c r="F195" s="98">
        <v>0.0754</v>
      </c>
      <c r="G195" s="90">
        <f t="shared" si="6"/>
        <v>5980.095</v>
      </c>
    </row>
    <row r="196" spans="3:7" ht="12.75">
      <c r="C196" s="95" t="s">
        <v>314</v>
      </c>
      <c r="D196" s="98">
        <v>0.1385</v>
      </c>
      <c r="E196" s="90">
        <f t="shared" si="5"/>
        <v>6053.525</v>
      </c>
      <c r="F196" s="98">
        <v>0.124</v>
      </c>
      <c r="G196" s="90">
        <f t="shared" si="6"/>
        <v>6158.7</v>
      </c>
    </row>
    <row r="197" spans="3:7" ht="12.75">
      <c r="C197" s="96" t="s">
        <v>315</v>
      </c>
      <c r="D197" s="98">
        <v>0.2259</v>
      </c>
      <c r="E197" s="90">
        <f t="shared" si="5"/>
        <v>6372.535</v>
      </c>
      <c r="F197" s="98">
        <v>0.2189</v>
      </c>
      <c r="G197" s="90">
        <f t="shared" si="6"/>
        <v>6507.4575</v>
      </c>
    </row>
    <row r="198" spans="3:7" ht="12.75">
      <c r="C198" s="96" t="s">
        <v>316</v>
      </c>
      <c r="D198" s="98">
        <v>0.1895</v>
      </c>
      <c r="E198" s="90">
        <f t="shared" si="5"/>
        <v>6239.675</v>
      </c>
      <c r="F198" s="98">
        <v>0.1895</v>
      </c>
      <c r="G198" s="90">
        <f t="shared" si="6"/>
        <v>6399.4125</v>
      </c>
    </row>
    <row r="199" spans="3:7" ht="12.75">
      <c r="C199" s="95" t="s">
        <v>317</v>
      </c>
      <c r="D199" s="98">
        <v>0.2131</v>
      </c>
      <c r="E199" s="90">
        <f t="shared" si="5"/>
        <v>6325.8150000000005</v>
      </c>
      <c r="F199" s="98">
        <v>0.2063</v>
      </c>
      <c r="G199" s="90">
        <f t="shared" si="6"/>
        <v>6461.1525</v>
      </c>
    </row>
    <row r="200" spans="3:7" ht="12.75">
      <c r="C200" s="95" t="s">
        <v>318</v>
      </c>
      <c r="D200" s="98">
        <v>0.0702</v>
      </c>
      <c r="E200" s="90">
        <f t="shared" si="5"/>
        <v>5804.23</v>
      </c>
      <c r="F200" s="98">
        <v>0.0702</v>
      </c>
      <c r="G200" s="90">
        <f t="shared" si="6"/>
        <v>5960.985</v>
      </c>
    </row>
    <row r="201" spans="3:7" ht="12.75">
      <c r="C201" s="95" t="s">
        <v>319</v>
      </c>
      <c r="D201" s="98">
        <v>0.1355</v>
      </c>
      <c r="E201" s="90">
        <f t="shared" si="5"/>
        <v>6042.575</v>
      </c>
      <c r="F201" s="98">
        <v>0.1355</v>
      </c>
      <c r="G201" s="90">
        <f t="shared" si="6"/>
        <v>6200.9625</v>
      </c>
    </row>
    <row r="202" spans="3:7" ht="12.75">
      <c r="C202" s="95" t="s">
        <v>320</v>
      </c>
      <c r="D202" s="98">
        <v>0.257</v>
      </c>
      <c r="E202" s="90">
        <f t="shared" si="5"/>
        <v>6486.05</v>
      </c>
      <c r="F202" s="98">
        <v>0.238</v>
      </c>
      <c r="G202" s="90">
        <f t="shared" si="6"/>
        <v>6577.65</v>
      </c>
    </row>
    <row r="203" spans="3:7" ht="12.75">
      <c r="C203" s="95" t="s">
        <v>321</v>
      </c>
      <c r="D203" s="98">
        <v>0.1488</v>
      </c>
      <c r="E203" s="90">
        <f t="shared" si="5"/>
        <v>6091.12</v>
      </c>
      <c r="F203" s="98">
        <v>0.1488</v>
      </c>
      <c r="G203" s="90">
        <f t="shared" si="6"/>
        <v>6249.84</v>
      </c>
    </row>
    <row r="204" spans="3:7" ht="12.75">
      <c r="C204" s="95" t="s">
        <v>322</v>
      </c>
      <c r="D204" s="98">
        <v>0.1157</v>
      </c>
      <c r="E204" s="90">
        <f t="shared" si="5"/>
        <v>5970.305</v>
      </c>
      <c r="F204" s="98">
        <v>0.1157</v>
      </c>
      <c r="G204" s="90">
        <f t="shared" si="6"/>
        <v>6128.1975</v>
      </c>
    </row>
    <row r="205" spans="3:7" ht="12.75">
      <c r="C205" s="95" t="s">
        <v>323</v>
      </c>
      <c r="D205" s="98">
        <v>0.0718</v>
      </c>
      <c r="E205" s="90">
        <f t="shared" si="5"/>
        <v>5810.07</v>
      </c>
      <c r="F205" s="98">
        <v>0.0714</v>
      </c>
      <c r="G205" s="90">
        <f t="shared" si="6"/>
        <v>5965.395</v>
      </c>
    </row>
    <row r="206" spans="3:7" ht="12.75">
      <c r="C206" s="95" t="s">
        <v>324</v>
      </c>
      <c r="D206" s="98">
        <v>0.1268</v>
      </c>
      <c r="E206" s="90">
        <f t="shared" si="5"/>
        <v>6010.82</v>
      </c>
      <c r="F206" s="98">
        <v>0.1242</v>
      </c>
      <c r="G206" s="90">
        <f t="shared" si="6"/>
        <v>6159.435</v>
      </c>
    </row>
    <row r="207" spans="3:7" ht="12.75">
      <c r="C207" s="95" t="s">
        <v>325</v>
      </c>
      <c r="D207" s="98">
        <v>0.1987</v>
      </c>
      <c r="E207" s="90">
        <f t="shared" si="5"/>
        <v>6273.255</v>
      </c>
      <c r="F207" s="98">
        <v>0.1896</v>
      </c>
      <c r="G207" s="90">
        <f t="shared" si="6"/>
        <v>6399.78</v>
      </c>
    </row>
    <row r="208" spans="3:7" ht="12.75">
      <c r="C208" s="95" t="s">
        <v>326</v>
      </c>
      <c r="D208" s="98">
        <v>0.0537</v>
      </c>
      <c r="E208" s="90">
        <f t="shared" si="5"/>
        <v>5744.005</v>
      </c>
      <c r="F208" s="98">
        <v>0.0537</v>
      </c>
      <c r="G208" s="90">
        <f t="shared" si="6"/>
        <v>5900.3475</v>
      </c>
    </row>
    <row r="209" spans="3:7" ht="12.75">
      <c r="C209" s="97" t="s">
        <v>327</v>
      </c>
      <c r="D209" s="98">
        <v>0.1275</v>
      </c>
      <c r="E209" s="90">
        <f aca="true" t="shared" si="7" ref="E209:E272">(D209*$J$19)+$J$18</f>
        <v>6013.375</v>
      </c>
      <c r="F209" s="98">
        <v>0.1275</v>
      </c>
      <c r="G209" s="90">
        <f t="shared" si="6"/>
        <v>6171.5625</v>
      </c>
    </row>
    <row r="210" spans="3:7" ht="12.75">
      <c r="C210" s="95" t="s">
        <v>328</v>
      </c>
      <c r="D210" s="98">
        <v>0.203</v>
      </c>
      <c r="E210" s="90">
        <f t="shared" si="7"/>
        <v>6288.95</v>
      </c>
      <c r="F210" s="98">
        <v>0.1999</v>
      </c>
      <c r="G210" s="90">
        <f t="shared" si="6"/>
        <v>6437.6325</v>
      </c>
    </row>
    <row r="211" spans="3:7" ht="12.75">
      <c r="C211" s="95" t="s">
        <v>329</v>
      </c>
      <c r="D211" s="98">
        <v>0.2454</v>
      </c>
      <c r="E211" s="90">
        <f t="shared" si="7"/>
        <v>6443.71</v>
      </c>
      <c r="F211" s="98">
        <v>0.2244</v>
      </c>
      <c r="G211" s="90">
        <f aca="true" t="shared" si="8" ref="G211:G274">(F211*$K$19)+$K$18</f>
        <v>6527.67</v>
      </c>
    </row>
    <row r="212" spans="3:7" ht="12.75">
      <c r="C212" s="96" t="s">
        <v>330</v>
      </c>
      <c r="D212" s="98">
        <v>0.2036</v>
      </c>
      <c r="E212" s="90">
        <f t="shared" si="7"/>
        <v>6291.14</v>
      </c>
      <c r="F212" s="98">
        <v>0.1804</v>
      </c>
      <c r="G212" s="90">
        <f t="shared" si="8"/>
        <v>6365.97</v>
      </c>
    </row>
    <row r="213" spans="3:7" ht="12.75">
      <c r="C213" s="95" t="s">
        <v>331</v>
      </c>
      <c r="D213" s="98">
        <v>0.1844</v>
      </c>
      <c r="E213" s="90">
        <f t="shared" si="7"/>
        <v>6221.06</v>
      </c>
      <c r="F213" s="98">
        <v>0.1802</v>
      </c>
      <c r="G213" s="90">
        <f t="shared" si="8"/>
        <v>6365.235</v>
      </c>
    </row>
    <row r="214" spans="3:7" ht="12.75">
      <c r="C214" s="95" t="s">
        <v>332</v>
      </c>
      <c r="D214" s="98">
        <v>0.1182</v>
      </c>
      <c r="E214" s="90">
        <f t="shared" si="7"/>
        <v>5979.43</v>
      </c>
      <c r="F214" s="98">
        <v>0.1023</v>
      </c>
      <c r="G214" s="90">
        <f t="shared" si="8"/>
        <v>6078.9525</v>
      </c>
    </row>
    <row r="215" spans="3:7" ht="12.75">
      <c r="C215" s="95" t="s">
        <v>333</v>
      </c>
      <c r="D215" s="98">
        <v>0.3742</v>
      </c>
      <c r="E215" s="90">
        <f t="shared" si="7"/>
        <v>6913.83</v>
      </c>
      <c r="F215" s="98">
        <v>0.3492</v>
      </c>
      <c r="G215" s="90">
        <f t="shared" si="8"/>
        <v>6986.3099999999995</v>
      </c>
    </row>
    <row r="216" spans="3:7" ht="12.75">
      <c r="C216" s="95" t="s">
        <v>334</v>
      </c>
      <c r="D216" s="98">
        <v>0.128</v>
      </c>
      <c r="E216" s="90">
        <f t="shared" si="7"/>
        <v>6015.2</v>
      </c>
      <c r="F216" s="98">
        <v>0.128</v>
      </c>
      <c r="G216" s="90">
        <f t="shared" si="8"/>
        <v>6173.4</v>
      </c>
    </row>
    <row r="217" spans="3:7" ht="12.75">
      <c r="C217" s="97" t="s">
        <v>335</v>
      </c>
      <c r="D217" s="98">
        <v>0.3915</v>
      </c>
      <c r="E217" s="90">
        <f t="shared" si="7"/>
        <v>6976.975</v>
      </c>
      <c r="F217" s="98">
        <v>0.3915</v>
      </c>
      <c r="G217" s="90">
        <f t="shared" si="8"/>
        <v>7141.7625</v>
      </c>
    </row>
    <row r="218" spans="3:7" ht="12.75">
      <c r="C218" s="95" t="s">
        <v>336</v>
      </c>
      <c r="D218" s="98">
        <v>0.1874</v>
      </c>
      <c r="E218" s="90">
        <f t="shared" si="7"/>
        <v>6232.01</v>
      </c>
      <c r="F218" s="98">
        <v>0.1624</v>
      </c>
      <c r="G218" s="90">
        <f t="shared" si="8"/>
        <v>6299.82</v>
      </c>
    </row>
    <row r="219" spans="3:7" ht="12.75">
      <c r="C219" s="95" t="s">
        <v>337</v>
      </c>
      <c r="D219" s="98">
        <v>0.0868</v>
      </c>
      <c r="E219" s="90">
        <f t="shared" si="7"/>
        <v>5864.82</v>
      </c>
      <c r="F219" s="98">
        <v>0.0794</v>
      </c>
      <c r="G219" s="90">
        <f t="shared" si="8"/>
        <v>5994.795</v>
      </c>
    </row>
    <row r="220" spans="3:7" ht="12.75">
      <c r="C220" s="95" t="s">
        <v>338</v>
      </c>
      <c r="D220" s="98">
        <v>0.1597</v>
      </c>
      <c r="E220" s="90">
        <f t="shared" si="7"/>
        <v>6130.905</v>
      </c>
      <c r="F220" s="98">
        <v>0.1597</v>
      </c>
      <c r="G220" s="90">
        <f t="shared" si="8"/>
        <v>6289.8975</v>
      </c>
    </row>
    <row r="221" spans="3:7" ht="12.75">
      <c r="C221" s="95" t="s">
        <v>339</v>
      </c>
      <c r="D221" s="98">
        <v>0.2038</v>
      </c>
      <c r="E221" s="90">
        <f t="shared" si="7"/>
        <v>6291.87</v>
      </c>
      <c r="F221" s="98">
        <v>0.1788</v>
      </c>
      <c r="G221" s="90">
        <f t="shared" si="8"/>
        <v>6360.09</v>
      </c>
    </row>
    <row r="222" spans="3:7" ht="12.75">
      <c r="C222" s="97" t="s">
        <v>340</v>
      </c>
      <c r="D222" s="98">
        <v>0.5459</v>
      </c>
      <c r="E222" s="90">
        <f t="shared" si="7"/>
        <v>7540.535</v>
      </c>
      <c r="F222" s="98">
        <v>0.5209</v>
      </c>
      <c r="G222" s="90">
        <f t="shared" si="8"/>
        <v>7617.3075</v>
      </c>
    </row>
    <row r="223" spans="3:7" ht="12.75">
      <c r="C223" s="97" t="s">
        <v>341</v>
      </c>
      <c r="D223" s="98">
        <v>0.368</v>
      </c>
      <c r="E223" s="90">
        <f t="shared" si="7"/>
        <v>6891.2</v>
      </c>
      <c r="F223" s="98">
        <v>0.343</v>
      </c>
      <c r="G223" s="90">
        <f t="shared" si="8"/>
        <v>6963.525</v>
      </c>
    </row>
    <row r="224" spans="3:7" ht="12.75">
      <c r="C224" s="95" t="s">
        <v>342</v>
      </c>
      <c r="D224" s="98">
        <v>0.1729</v>
      </c>
      <c r="E224" s="90">
        <f t="shared" si="7"/>
        <v>6179.085</v>
      </c>
      <c r="F224" s="98">
        <v>0.1729</v>
      </c>
      <c r="G224" s="90">
        <f t="shared" si="8"/>
        <v>6338.4075</v>
      </c>
    </row>
    <row r="225" spans="3:7" ht="12.75">
      <c r="C225" s="95" t="s">
        <v>343</v>
      </c>
      <c r="D225" s="98">
        <v>0.2675</v>
      </c>
      <c r="E225" s="90">
        <f t="shared" si="7"/>
        <v>6524.375</v>
      </c>
      <c r="F225" s="98">
        <v>0.2606</v>
      </c>
      <c r="G225" s="90">
        <f t="shared" si="8"/>
        <v>6660.705</v>
      </c>
    </row>
    <row r="226" spans="3:7" ht="12.75">
      <c r="C226" s="95" t="s">
        <v>344</v>
      </c>
      <c r="D226" s="98">
        <v>0.1302</v>
      </c>
      <c r="E226" s="90">
        <f t="shared" si="7"/>
        <v>6023.23</v>
      </c>
      <c r="F226" s="98">
        <v>0.1302</v>
      </c>
      <c r="G226" s="90">
        <f t="shared" si="8"/>
        <v>6181.485</v>
      </c>
    </row>
    <row r="227" spans="3:7" ht="12.75">
      <c r="C227" s="95" t="s">
        <v>345</v>
      </c>
      <c r="D227" s="98">
        <v>0.049</v>
      </c>
      <c r="E227" s="90">
        <f t="shared" si="7"/>
        <v>5726.85</v>
      </c>
      <c r="F227" s="98">
        <v>0.049</v>
      </c>
      <c r="G227" s="90">
        <f t="shared" si="8"/>
        <v>5883.075</v>
      </c>
    </row>
    <row r="228" spans="3:7" ht="12.75">
      <c r="C228" s="95" t="s">
        <v>346</v>
      </c>
      <c r="D228" s="98">
        <v>0.232</v>
      </c>
      <c r="E228" s="90">
        <f t="shared" si="7"/>
        <v>6394.8</v>
      </c>
      <c r="F228" s="98">
        <v>0.207</v>
      </c>
      <c r="G228" s="90">
        <f t="shared" si="8"/>
        <v>6463.725</v>
      </c>
    </row>
    <row r="229" spans="3:7" ht="12.75">
      <c r="C229" s="95" t="s">
        <v>347</v>
      </c>
      <c r="D229" s="98">
        <v>0.2573</v>
      </c>
      <c r="E229" s="90">
        <f t="shared" si="7"/>
        <v>6487.1449999999995</v>
      </c>
      <c r="F229" s="98">
        <v>0.2455</v>
      </c>
      <c r="G229" s="90">
        <f t="shared" si="8"/>
        <v>6605.2125</v>
      </c>
    </row>
    <row r="230" spans="3:7" ht="12.75">
      <c r="C230" s="95" t="s">
        <v>348</v>
      </c>
      <c r="D230" s="98">
        <v>0.2113</v>
      </c>
      <c r="E230" s="90">
        <f t="shared" si="7"/>
        <v>6319.245</v>
      </c>
      <c r="F230" s="98">
        <v>0.1875</v>
      </c>
      <c r="G230" s="90">
        <f t="shared" si="8"/>
        <v>6392.0625</v>
      </c>
    </row>
    <row r="231" spans="3:7" ht="12.75">
      <c r="C231" s="95" t="s">
        <v>349</v>
      </c>
      <c r="D231" s="98">
        <v>0.1604</v>
      </c>
      <c r="E231" s="90">
        <f t="shared" si="7"/>
        <v>6133.46</v>
      </c>
      <c r="F231" s="98">
        <v>0.1354</v>
      </c>
      <c r="G231" s="90">
        <f t="shared" si="8"/>
        <v>6200.595</v>
      </c>
    </row>
    <row r="232" spans="3:7" ht="12.75">
      <c r="C232" s="95" t="s">
        <v>350</v>
      </c>
      <c r="D232" s="98">
        <v>0.113</v>
      </c>
      <c r="E232" s="90">
        <f t="shared" si="7"/>
        <v>5960.45</v>
      </c>
      <c r="F232" s="98">
        <v>0.113</v>
      </c>
      <c r="G232" s="90">
        <f t="shared" si="8"/>
        <v>6118.275</v>
      </c>
    </row>
    <row r="233" spans="3:7" ht="12.75">
      <c r="C233" s="95" t="s">
        <v>351</v>
      </c>
      <c r="D233" s="98">
        <v>0.1854</v>
      </c>
      <c r="E233" s="90">
        <f t="shared" si="7"/>
        <v>6224.71</v>
      </c>
      <c r="F233" s="98">
        <v>0.1746</v>
      </c>
      <c r="G233" s="90">
        <f t="shared" si="8"/>
        <v>6344.655</v>
      </c>
    </row>
    <row r="234" spans="3:7" ht="12.75">
      <c r="C234" s="95" t="s">
        <v>352</v>
      </c>
      <c r="D234" s="98">
        <v>0.1333</v>
      </c>
      <c r="E234" s="90">
        <f t="shared" si="7"/>
        <v>6034.545</v>
      </c>
      <c r="F234" s="98">
        <v>0.1333</v>
      </c>
      <c r="G234" s="90">
        <f t="shared" si="8"/>
        <v>6192.8775</v>
      </c>
    </row>
    <row r="235" spans="3:7" ht="12.75">
      <c r="C235" s="95" t="s">
        <v>353</v>
      </c>
      <c r="D235" s="98">
        <v>0.1126</v>
      </c>
      <c r="E235" s="90">
        <f t="shared" si="7"/>
        <v>5958.99</v>
      </c>
      <c r="F235" s="98">
        <v>0.1126</v>
      </c>
      <c r="G235" s="90">
        <f t="shared" si="8"/>
        <v>6116.805</v>
      </c>
    </row>
    <row r="236" spans="3:7" ht="12.75">
      <c r="C236" s="95" t="s">
        <v>354</v>
      </c>
      <c r="D236" s="98">
        <v>0.1934</v>
      </c>
      <c r="E236" s="90">
        <f t="shared" si="7"/>
        <v>6253.91</v>
      </c>
      <c r="F236" s="98">
        <v>0.1863</v>
      </c>
      <c r="G236" s="90">
        <f t="shared" si="8"/>
        <v>6387.6525</v>
      </c>
    </row>
    <row r="237" spans="3:7" ht="12.75">
      <c r="C237" s="95" t="s">
        <v>355</v>
      </c>
      <c r="D237" s="98">
        <v>0.0632</v>
      </c>
      <c r="E237" s="90">
        <f t="shared" si="7"/>
        <v>5778.68</v>
      </c>
      <c r="F237" s="98">
        <v>0.0632</v>
      </c>
      <c r="G237" s="90">
        <f t="shared" si="8"/>
        <v>5935.26</v>
      </c>
    </row>
    <row r="238" spans="3:7" ht="12.75">
      <c r="C238" s="95" t="s">
        <v>356</v>
      </c>
      <c r="D238" s="98">
        <v>0.1363</v>
      </c>
      <c r="E238" s="90">
        <f t="shared" si="7"/>
        <v>6045.495</v>
      </c>
      <c r="F238" s="98">
        <v>0.1361</v>
      </c>
      <c r="G238" s="90">
        <f t="shared" si="8"/>
        <v>6203.1675</v>
      </c>
    </row>
    <row r="239" spans="3:7" ht="12.75">
      <c r="C239" s="95" t="s">
        <v>357</v>
      </c>
      <c r="D239" s="98">
        <v>0.3611</v>
      </c>
      <c r="E239" s="90">
        <f t="shared" si="7"/>
        <v>6866.014999999999</v>
      </c>
      <c r="F239" s="98">
        <v>0.3425</v>
      </c>
      <c r="G239" s="90">
        <f t="shared" si="8"/>
        <v>6961.6875</v>
      </c>
    </row>
    <row r="240" spans="3:7" ht="12.75">
      <c r="C240" s="96" t="s">
        <v>358</v>
      </c>
      <c r="D240" s="98">
        <v>0.088</v>
      </c>
      <c r="E240" s="90">
        <f t="shared" si="7"/>
        <v>5869.2</v>
      </c>
      <c r="F240" s="98">
        <v>0.088</v>
      </c>
      <c r="G240" s="90">
        <f t="shared" si="8"/>
        <v>6026.4</v>
      </c>
    </row>
    <row r="241" spans="3:7" ht="12.75">
      <c r="C241" s="95" t="s">
        <v>359</v>
      </c>
      <c r="D241" s="98">
        <v>0.1904</v>
      </c>
      <c r="E241" s="90">
        <f t="shared" si="7"/>
        <v>6242.96</v>
      </c>
      <c r="F241" s="98">
        <v>0.1904</v>
      </c>
      <c r="G241" s="90">
        <f t="shared" si="8"/>
        <v>6402.72</v>
      </c>
    </row>
    <row r="242" spans="3:7" ht="12.75">
      <c r="C242" s="95" t="s">
        <v>360</v>
      </c>
      <c r="D242" s="98">
        <v>0.0826</v>
      </c>
      <c r="E242" s="90">
        <f t="shared" si="7"/>
        <v>5849.49</v>
      </c>
      <c r="F242" s="98">
        <v>0.0826</v>
      </c>
      <c r="G242" s="90">
        <f t="shared" si="8"/>
        <v>6006.555</v>
      </c>
    </row>
    <row r="243" spans="3:7" ht="12.75">
      <c r="C243" s="95" t="s">
        <v>361</v>
      </c>
      <c r="D243" s="98">
        <v>0.1563</v>
      </c>
      <c r="E243" s="90">
        <f t="shared" si="7"/>
        <v>6118.495</v>
      </c>
      <c r="F243" s="98">
        <v>0.1521</v>
      </c>
      <c r="G243" s="90">
        <f t="shared" si="8"/>
        <v>6261.9675</v>
      </c>
    </row>
    <row r="244" spans="3:7" ht="12.75">
      <c r="C244" s="95" t="s">
        <v>362</v>
      </c>
      <c r="D244" s="98">
        <v>0.148</v>
      </c>
      <c r="E244" s="90">
        <f t="shared" si="7"/>
        <v>6088.2</v>
      </c>
      <c r="F244" s="98">
        <v>0.148</v>
      </c>
      <c r="G244" s="90">
        <f t="shared" si="8"/>
        <v>6246.9</v>
      </c>
    </row>
    <row r="245" spans="3:7" ht="12.75">
      <c r="C245" s="95" t="s">
        <v>363</v>
      </c>
      <c r="D245" s="98">
        <v>0.0985</v>
      </c>
      <c r="E245" s="90">
        <f t="shared" si="7"/>
        <v>5907.525</v>
      </c>
      <c r="F245" s="98">
        <v>0.0985</v>
      </c>
      <c r="G245" s="90">
        <f t="shared" si="8"/>
        <v>6064.9875</v>
      </c>
    </row>
    <row r="246" spans="3:7" ht="12.75">
      <c r="C246" s="95" t="s">
        <v>364</v>
      </c>
      <c r="D246" s="98">
        <v>0.0912</v>
      </c>
      <c r="E246" s="90">
        <f t="shared" si="7"/>
        <v>5880.88</v>
      </c>
      <c r="F246" s="98">
        <v>0.0912</v>
      </c>
      <c r="G246" s="90">
        <f t="shared" si="8"/>
        <v>6038.16</v>
      </c>
    </row>
    <row r="247" spans="3:7" ht="12.75">
      <c r="C247" s="95" t="s">
        <v>365</v>
      </c>
      <c r="D247" s="98">
        <v>0.122</v>
      </c>
      <c r="E247" s="90">
        <f t="shared" si="7"/>
        <v>5993.3</v>
      </c>
      <c r="F247" s="98">
        <v>0.1057</v>
      </c>
      <c r="G247" s="90">
        <f t="shared" si="8"/>
        <v>6091.4475</v>
      </c>
    </row>
    <row r="248" spans="3:7" ht="12.75">
      <c r="C248" s="95" t="s">
        <v>366</v>
      </c>
      <c r="D248" s="98">
        <v>0.2184</v>
      </c>
      <c r="E248" s="90">
        <f t="shared" si="7"/>
        <v>6345.16</v>
      </c>
      <c r="F248" s="98">
        <v>0.2184</v>
      </c>
      <c r="G248" s="90">
        <f t="shared" si="8"/>
        <v>6505.62</v>
      </c>
    </row>
    <row r="249" spans="3:7" ht="12.75">
      <c r="C249" s="95" t="s">
        <v>367</v>
      </c>
      <c r="D249" s="98">
        <v>0.1209</v>
      </c>
      <c r="E249" s="90">
        <f t="shared" si="7"/>
        <v>5989.285</v>
      </c>
      <c r="F249" s="98">
        <v>0.109</v>
      </c>
      <c r="G249" s="90">
        <f t="shared" si="8"/>
        <v>6103.575</v>
      </c>
    </row>
    <row r="250" spans="3:7" ht="12.75">
      <c r="C250" s="95" t="s">
        <v>368</v>
      </c>
      <c r="D250" s="98">
        <v>0.2195</v>
      </c>
      <c r="E250" s="90">
        <f t="shared" si="7"/>
        <v>6349.175</v>
      </c>
      <c r="F250" s="98">
        <v>0.2152</v>
      </c>
      <c r="G250" s="90">
        <f t="shared" si="8"/>
        <v>6493.86</v>
      </c>
    </row>
    <row r="251" spans="3:7" ht="12.75">
      <c r="C251" s="95" t="s">
        <v>369</v>
      </c>
      <c r="D251" s="98">
        <v>0.1631</v>
      </c>
      <c r="E251" s="90">
        <f t="shared" si="7"/>
        <v>6143.315</v>
      </c>
      <c r="F251" s="98">
        <v>0.1576</v>
      </c>
      <c r="G251" s="90">
        <f t="shared" si="8"/>
        <v>6282.18</v>
      </c>
    </row>
    <row r="252" spans="3:7" ht="12.75">
      <c r="C252" s="95" t="s">
        <v>370</v>
      </c>
      <c r="D252" s="98">
        <v>0.2248</v>
      </c>
      <c r="E252" s="90">
        <f t="shared" si="7"/>
        <v>6368.52</v>
      </c>
      <c r="F252" s="98">
        <v>0.2248</v>
      </c>
      <c r="G252" s="90">
        <f t="shared" si="8"/>
        <v>6529.14</v>
      </c>
    </row>
    <row r="253" spans="3:7" ht="12.75">
      <c r="C253" s="95" t="s">
        <v>371</v>
      </c>
      <c r="D253" s="98">
        <v>0.0352</v>
      </c>
      <c r="E253" s="90">
        <f t="shared" si="7"/>
        <v>5676.48</v>
      </c>
      <c r="F253" s="98">
        <v>0.0352</v>
      </c>
      <c r="G253" s="90">
        <f t="shared" si="8"/>
        <v>5832.36</v>
      </c>
    </row>
    <row r="254" spans="3:7" ht="12.75">
      <c r="C254" s="95" t="s">
        <v>372</v>
      </c>
      <c r="D254" s="98">
        <v>0.2092</v>
      </c>
      <c r="E254" s="90">
        <f t="shared" si="7"/>
        <v>6311.58</v>
      </c>
      <c r="F254" s="98">
        <v>0.1842</v>
      </c>
      <c r="G254" s="90">
        <f t="shared" si="8"/>
        <v>6379.935</v>
      </c>
    </row>
    <row r="255" spans="3:7" ht="12.75">
      <c r="C255" s="95" t="s">
        <v>373</v>
      </c>
      <c r="D255" s="98">
        <v>0.0638</v>
      </c>
      <c r="E255" s="90">
        <f t="shared" si="7"/>
        <v>5780.87</v>
      </c>
      <c r="F255" s="98">
        <v>0.0638</v>
      </c>
      <c r="G255" s="90">
        <f t="shared" si="8"/>
        <v>5937.465</v>
      </c>
    </row>
    <row r="256" spans="3:7" ht="12.75">
      <c r="C256" s="95" t="s">
        <v>374</v>
      </c>
      <c r="D256" s="98">
        <v>0.1049</v>
      </c>
      <c r="E256" s="90">
        <f t="shared" si="7"/>
        <v>5930.885</v>
      </c>
      <c r="F256" s="98">
        <v>0.0799</v>
      </c>
      <c r="G256" s="90">
        <f t="shared" si="8"/>
        <v>5996.6325</v>
      </c>
    </row>
    <row r="257" spans="3:7" ht="12.75">
      <c r="C257" s="95" t="s">
        <v>375</v>
      </c>
      <c r="D257" s="98">
        <v>0.0904</v>
      </c>
      <c r="E257" s="90">
        <f t="shared" si="7"/>
        <v>5877.96</v>
      </c>
      <c r="F257" s="98">
        <v>0.0818</v>
      </c>
      <c r="G257" s="90">
        <f t="shared" si="8"/>
        <v>6003.615</v>
      </c>
    </row>
    <row r="258" spans="3:7" ht="12.75">
      <c r="C258" s="95" t="s">
        <v>376</v>
      </c>
      <c r="D258" s="98">
        <v>0.2513</v>
      </c>
      <c r="E258" s="90">
        <f t="shared" si="7"/>
        <v>6465.245</v>
      </c>
      <c r="F258" s="98">
        <v>0.2333</v>
      </c>
      <c r="G258" s="90">
        <f t="shared" si="8"/>
        <v>6560.3775000000005</v>
      </c>
    </row>
    <row r="259" spans="3:7" ht="12.75">
      <c r="C259" s="95" t="s">
        <v>377</v>
      </c>
      <c r="D259" s="98">
        <v>0.1797</v>
      </c>
      <c r="E259" s="90">
        <f t="shared" si="7"/>
        <v>6203.905</v>
      </c>
      <c r="F259" s="98">
        <v>0.1797</v>
      </c>
      <c r="G259" s="90">
        <f t="shared" si="8"/>
        <v>6363.3975</v>
      </c>
    </row>
    <row r="260" spans="3:7" ht="12.75">
      <c r="C260" s="96" t="s">
        <v>378</v>
      </c>
      <c r="D260" s="98">
        <v>0.1093</v>
      </c>
      <c r="E260" s="90">
        <f t="shared" si="7"/>
        <v>5946.945</v>
      </c>
      <c r="F260" s="98">
        <v>0.1043</v>
      </c>
      <c r="G260" s="90">
        <f t="shared" si="8"/>
        <v>6086.3025</v>
      </c>
    </row>
    <row r="261" spans="3:7" ht="12.75">
      <c r="C261" s="95" t="s">
        <v>379</v>
      </c>
      <c r="D261" s="98">
        <v>0.2254</v>
      </c>
      <c r="E261" s="90">
        <f t="shared" si="7"/>
        <v>6370.71</v>
      </c>
      <c r="F261" s="98">
        <v>0.2004</v>
      </c>
      <c r="G261" s="90">
        <f t="shared" si="8"/>
        <v>6439.47</v>
      </c>
    </row>
    <row r="262" spans="3:7" ht="12.75">
      <c r="C262" s="95" t="s">
        <v>380</v>
      </c>
      <c r="D262" s="98">
        <v>0.2029</v>
      </c>
      <c r="E262" s="90">
        <f t="shared" si="7"/>
        <v>6288.585</v>
      </c>
      <c r="F262" s="98">
        <v>0.1779</v>
      </c>
      <c r="G262" s="90">
        <f t="shared" si="8"/>
        <v>6356.7825</v>
      </c>
    </row>
    <row r="263" spans="3:7" ht="12.75">
      <c r="C263" s="96" t="s">
        <v>381</v>
      </c>
      <c r="D263" s="98">
        <v>0.1877</v>
      </c>
      <c r="E263" s="90">
        <f t="shared" si="7"/>
        <v>6233.105</v>
      </c>
      <c r="F263" s="98">
        <v>0.1627</v>
      </c>
      <c r="G263" s="90">
        <f t="shared" si="8"/>
        <v>6300.9225</v>
      </c>
    </row>
    <row r="264" spans="3:7" ht="12.75">
      <c r="C264" s="95" t="s">
        <v>382</v>
      </c>
      <c r="D264" s="98">
        <v>0.0532</v>
      </c>
      <c r="E264" s="90">
        <f t="shared" si="7"/>
        <v>5742.18</v>
      </c>
      <c r="F264" s="98">
        <v>0.0532</v>
      </c>
      <c r="G264" s="90">
        <f t="shared" si="8"/>
        <v>5898.51</v>
      </c>
    </row>
    <row r="265" spans="3:7" ht="12.75">
      <c r="C265" s="95" t="s">
        <v>383</v>
      </c>
      <c r="D265" s="98">
        <v>0.2069</v>
      </c>
      <c r="E265" s="90">
        <f t="shared" si="7"/>
        <v>6303.1849999999995</v>
      </c>
      <c r="F265" s="98">
        <v>0.2044</v>
      </c>
      <c r="G265" s="90">
        <f t="shared" si="8"/>
        <v>6454.17</v>
      </c>
    </row>
    <row r="266" spans="3:7" ht="12.75">
      <c r="C266" s="95" t="s">
        <v>384</v>
      </c>
      <c r="D266" s="98">
        <v>0.278</v>
      </c>
      <c r="E266" s="90">
        <f t="shared" si="7"/>
        <v>6562.7</v>
      </c>
      <c r="F266" s="98">
        <v>0.278</v>
      </c>
      <c r="G266" s="90">
        <f t="shared" si="8"/>
        <v>6724.65</v>
      </c>
    </row>
    <row r="267" spans="3:7" ht="12.75">
      <c r="C267" s="95" t="s">
        <v>385</v>
      </c>
      <c r="D267" s="98">
        <v>0.1723</v>
      </c>
      <c r="E267" s="90">
        <f t="shared" si="7"/>
        <v>6176.895</v>
      </c>
      <c r="F267" s="98">
        <v>0.1723</v>
      </c>
      <c r="G267" s="90">
        <f t="shared" si="8"/>
        <v>6336.2025</v>
      </c>
    </row>
    <row r="268" spans="3:7" ht="12.75">
      <c r="C268" s="95" t="s">
        <v>386</v>
      </c>
      <c r="D268" s="98">
        <v>0.1004</v>
      </c>
      <c r="E268" s="90">
        <f t="shared" si="7"/>
        <v>5914.46</v>
      </c>
      <c r="F268" s="98">
        <v>0.1004</v>
      </c>
      <c r="G268" s="90">
        <f t="shared" si="8"/>
        <v>6071.97</v>
      </c>
    </row>
    <row r="269" spans="3:7" ht="12.75">
      <c r="C269" s="95" t="s">
        <v>387</v>
      </c>
      <c r="D269" s="98">
        <v>0.1352</v>
      </c>
      <c r="E269" s="90">
        <f t="shared" si="7"/>
        <v>6041.48</v>
      </c>
      <c r="F269" s="98">
        <v>0.1352</v>
      </c>
      <c r="G269" s="90">
        <f t="shared" si="8"/>
        <v>6199.86</v>
      </c>
    </row>
    <row r="270" spans="3:7" ht="12.75">
      <c r="C270" s="95" t="s">
        <v>388</v>
      </c>
      <c r="D270" s="98">
        <v>0.1113</v>
      </c>
      <c r="E270" s="90">
        <f t="shared" si="7"/>
        <v>5954.245</v>
      </c>
      <c r="F270" s="98">
        <v>0.0942</v>
      </c>
      <c r="G270" s="90">
        <f t="shared" si="8"/>
        <v>6049.185</v>
      </c>
    </row>
    <row r="271" spans="3:7" ht="12.75">
      <c r="C271" s="95" t="s">
        <v>389</v>
      </c>
      <c r="D271" s="98">
        <v>0.1128</v>
      </c>
      <c r="E271" s="90">
        <f t="shared" si="7"/>
        <v>5959.72</v>
      </c>
      <c r="F271" s="98">
        <v>0.1128</v>
      </c>
      <c r="G271" s="90">
        <f t="shared" si="8"/>
        <v>6117.54</v>
      </c>
    </row>
    <row r="272" spans="3:7" ht="12.75">
      <c r="C272" s="95" t="s">
        <v>390</v>
      </c>
      <c r="D272" s="98">
        <v>0.1349</v>
      </c>
      <c r="E272" s="90">
        <f t="shared" si="7"/>
        <v>6040.385</v>
      </c>
      <c r="F272" s="98">
        <v>0.1099</v>
      </c>
      <c r="G272" s="90">
        <f t="shared" si="8"/>
        <v>6106.8825</v>
      </c>
    </row>
    <row r="273" spans="3:7" ht="12.75">
      <c r="C273" s="97" t="s">
        <v>391</v>
      </c>
      <c r="D273" s="98">
        <v>0.0933</v>
      </c>
      <c r="E273" s="90">
        <f aca="true" t="shared" si="9" ref="E273:E306">(D273*$J$19)+$J$18</f>
        <v>5888.545</v>
      </c>
      <c r="F273" s="98">
        <v>0.0933</v>
      </c>
      <c r="G273" s="90">
        <f t="shared" si="8"/>
        <v>6045.8775</v>
      </c>
    </row>
    <row r="274" spans="3:7" ht="12.75">
      <c r="C274" s="96" t="s">
        <v>392</v>
      </c>
      <c r="D274" s="98">
        <v>0.1264</v>
      </c>
      <c r="E274" s="90">
        <f t="shared" si="9"/>
        <v>6009.36</v>
      </c>
      <c r="F274" s="98">
        <v>0.1166</v>
      </c>
      <c r="G274" s="90">
        <f t="shared" si="8"/>
        <v>6131.505</v>
      </c>
    </row>
    <row r="275" spans="3:7" ht="12.75">
      <c r="C275" s="96" t="s">
        <v>393</v>
      </c>
      <c r="D275" s="98">
        <v>0.1452</v>
      </c>
      <c r="E275" s="90">
        <f t="shared" si="9"/>
        <v>6077.98</v>
      </c>
      <c r="F275" s="98">
        <v>0.1452</v>
      </c>
      <c r="G275" s="90">
        <f aca="true" t="shared" si="10" ref="G275:G306">(F275*$K$19)+$K$18</f>
        <v>6236.61</v>
      </c>
    </row>
    <row r="276" spans="3:7" ht="12.75">
      <c r="C276" s="95" t="s">
        <v>394</v>
      </c>
      <c r="D276" s="98">
        <v>0.1346</v>
      </c>
      <c r="E276" s="90">
        <f t="shared" si="9"/>
        <v>6039.29</v>
      </c>
      <c r="F276" s="98">
        <v>0.1346</v>
      </c>
      <c r="G276" s="90">
        <f t="shared" si="10"/>
        <v>6197.655</v>
      </c>
    </row>
    <row r="277" spans="3:7" ht="12.75">
      <c r="C277" s="95" t="s">
        <v>395</v>
      </c>
      <c r="D277" s="98">
        <v>0.1264</v>
      </c>
      <c r="E277" s="90">
        <f t="shared" si="9"/>
        <v>6009.36</v>
      </c>
      <c r="F277" s="98">
        <v>0.1198</v>
      </c>
      <c r="G277" s="90">
        <f t="shared" si="10"/>
        <v>6143.265</v>
      </c>
    </row>
    <row r="278" spans="3:7" ht="12.75">
      <c r="C278" s="95" t="s">
        <v>396</v>
      </c>
      <c r="D278" s="98">
        <v>0.3426</v>
      </c>
      <c r="E278" s="90">
        <f t="shared" si="9"/>
        <v>6798.49</v>
      </c>
      <c r="F278" s="98">
        <v>0.3426</v>
      </c>
      <c r="G278" s="90">
        <f t="shared" si="10"/>
        <v>6962.055</v>
      </c>
    </row>
    <row r="279" spans="3:7" ht="12.75">
      <c r="C279" s="95" t="s">
        <v>397</v>
      </c>
      <c r="D279" s="98">
        <v>0.0767</v>
      </c>
      <c r="E279" s="90">
        <f t="shared" si="9"/>
        <v>5827.955</v>
      </c>
      <c r="F279" s="98">
        <v>0.0744</v>
      </c>
      <c r="G279" s="90">
        <f t="shared" si="10"/>
        <v>5976.42</v>
      </c>
    </row>
    <row r="280" spans="3:7" ht="12.75">
      <c r="C280" s="95" t="s">
        <v>398</v>
      </c>
      <c r="D280" s="98">
        <v>0.1547</v>
      </c>
      <c r="E280" s="90">
        <f t="shared" si="9"/>
        <v>6112.655</v>
      </c>
      <c r="F280" s="98">
        <v>0.1349</v>
      </c>
      <c r="G280" s="90">
        <f t="shared" si="10"/>
        <v>6198.7575</v>
      </c>
    </row>
    <row r="281" spans="3:7" ht="12.75">
      <c r="C281" s="95" t="s">
        <v>399</v>
      </c>
      <c r="D281" s="98">
        <v>0.0843</v>
      </c>
      <c r="E281" s="90">
        <f t="shared" si="9"/>
        <v>5855.695</v>
      </c>
      <c r="F281" s="98">
        <v>0.0843</v>
      </c>
      <c r="G281" s="90">
        <f t="shared" si="10"/>
        <v>6012.8025</v>
      </c>
    </row>
    <row r="282" spans="3:7" ht="12.75">
      <c r="C282" s="95" t="s">
        <v>400</v>
      </c>
      <c r="D282" s="98">
        <v>0.2636</v>
      </c>
      <c r="E282" s="90">
        <f t="shared" si="9"/>
        <v>6510.14</v>
      </c>
      <c r="F282" s="98">
        <v>0.2636</v>
      </c>
      <c r="G282" s="90">
        <f t="shared" si="10"/>
        <v>6671.73</v>
      </c>
    </row>
    <row r="283" spans="3:7" ht="12.75">
      <c r="C283" s="95" t="s">
        <v>401</v>
      </c>
      <c r="D283" s="98">
        <v>0.2862</v>
      </c>
      <c r="E283" s="90">
        <f t="shared" si="9"/>
        <v>6592.63</v>
      </c>
      <c r="F283" s="98">
        <v>0.2663</v>
      </c>
      <c r="G283" s="90">
        <f t="shared" si="10"/>
        <v>6681.6525</v>
      </c>
    </row>
    <row r="284" spans="3:7" ht="12.75">
      <c r="C284" s="95" t="s">
        <v>402</v>
      </c>
      <c r="D284" s="98">
        <v>0.2231</v>
      </c>
      <c r="E284" s="90">
        <f t="shared" si="9"/>
        <v>6362.315</v>
      </c>
      <c r="F284" s="98">
        <v>0.2206</v>
      </c>
      <c r="G284" s="90">
        <f t="shared" si="10"/>
        <v>6513.705</v>
      </c>
    </row>
    <row r="285" spans="3:7" ht="12.75">
      <c r="C285" s="95" t="s">
        <v>403</v>
      </c>
      <c r="D285" s="98">
        <v>0.0654</v>
      </c>
      <c r="E285" s="90">
        <f t="shared" si="9"/>
        <v>5786.71</v>
      </c>
      <c r="F285" s="98">
        <v>0.0654</v>
      </c>
      <c r="G285" s="90">
        <f t="shared" si="10"/>
        <v>5943.345</v>
      </c>
    </row>
    <row r="286" spans="3:7" ht="12.75">
      <c r="C286" s="95" t="s">
        <v>404</v>
      </c>
      <c r="D286" s="98">
        <v>0.0879</v>
      </c>
      <c r="E286" s="90">
        <f t="shared" si="9"/>
        <v>5868.835</v>
      </c>
      <c r="F286" s="98">
        <v>0.0879</v>
      </c>
      <c r="G286" s="90">
        <f t="shared" si="10"/>
        <v>6026.0325</v>
      </c>
    </row>
    <row r="287" spans="3:7" ht="12.75">
      <c r="C287" s="95" t="s">
        <v>405</v>
      </c>
      <c r="D287" s="98">
        <v>0.1282</v>
      </c>
      <c r="E287" s="90">
        <f t="shared" si="9"/>
        <v>6015.93</v>
      </c>
      <c r="F287" s="98">
        <v>0.1145</v>
      </c>
      <c r="G287" s="90">
        <f t="shared" si="10"/>
        <v>6123.7875</v>
      </c>
    </row>
    <row r="288" spans="3:7" ht="12.75">
      <c r="C288" s="95" t="s">
        <v>406</v>
      </c>
      <c r="D288" s="98">
        <v>0.2432</v>
      </c>
      <c r="E288" s="90">
        <f t="shared" si="9"/>
        <v>6435.68</v>
      </c>
      <c r="F288" s="98">
        <v>0.232</v>
      </c>
      <c r="G288" s="90">
        <f t="shared" si="10"/>
        <v>6555.6</v>
      </c>
    </row>
    <row r="289" spans="3:7" ht="12.75">
      <c r="C289" s="95" t="s">
        <v>407</v>
      </c>
      <c r="D289" s="98">
        <v>0.1241</v>
      </c>
      <c r="E289" s="90">
        <f t="shared" si="9"/>
        <v>6000.965</v>
      </c>
      <c r="F289" s="98">
        <v>0.1034</v>
      </c>
      <c r="G289" s="90">
        <f t="shared" si="10"/>
        <v>6082.995</v>
      </c>
    </row>
    <row r="290" spans="3:7" ht="12.75">
      <c r="C290" s="95" t="s">
        <v>408</v>
      </c>
      <c r="D290" s="98">
        <v>0.1921</v>
      </c>
      <c r="E290" s="90">
        <f t="shared" si="9"/>
        <v>6249.165</v>
      </c>
      <c r="F290" s="98">
        <v>0.1921</v>
      </c>
      <c r="G290" s="90">
        <f t="shared" si="10"/>
        <v>6408.9675</v>
      </c>
    </row>
    <row r="291" spans="3:7" ht="12.75">
      <c r="C291" s="96" t="s">
        <v>409</v>
      </c>
      <c r="D291" s="98">
        <v>0.1706</v>
      </c>
      <c r="E291" s="90">
        <f t="shared" si="9"/>
        <v>6170.6900000000005</v>
      </c>
      <c r="F291" s="98">
        <v>0.1491</v>
      </c>
      <c r="G291" s="90">
        <f t="shared" si="10"/>
        <v>6250.9425</v>
      </c>
    </row>
    <row r="292" spans="3:7" ht="12.75">
      <c r="C292" s="95" t="s">
        <v>410</v>
      </c>
      <c r="D292" s="98">
        <v>0.0747</v>
      </c>
      <c r="E292" s="90">
        <f t="shared" si="9"/>
        <v>5820.655</v>
      </c>
      <c r="F292" s="98">
        <v>0.0747</v>
      </c>
      <c r="G292" s="90">
        <f t="shared" si="10"/>
        <v>5977.5225</v>
      </c>
    </row>
    <row r="293" spans="3:7" ht="12.75">
      <c r="C293" s="95" t="s">
        <v>411</v>
      </c>
      <c r="D293" s="98">
        <v>0.0586</v>
      </c>
      <c r="E293" s="90">
        <f t="shared" si="9"/>
        <v>5761.89</v>
      </c>
      <c r="F293" s="98">
        <v>0.0586</v>
      </c>
      <c r="G293" s="90">
        <f t="shared" si="10"/>
        <v>5918.355</v>
      </c>
    </row>
    <row r="294" spans="3:7" ht="12.75">
      <c r="C294" s="95" t="s">
        <v>412</v>
      </c>
      <c r="D294" s="98">
        <v>0.1201</v>
      </c>
      <c r="E294" s="90">
        <f t="shared" si="9"/>
        <v>5986.365</v>
      </c>
      <c r="F294" s="98">
        <v>0.0951</v>
      </c>
      <c r="G294" s="90">
        <f t="shared" si="10"/>
        <v>6052.4925</v>
      </c>
    </row>
    <row r="295" spans="3:7" ht="12.75">
      <c r="C295" s="95" t="s">
        <v>413</v>
      </c>
      <c r="D295" s="98">
        <v>0.2005</v>
      </c>
      <c r="E295" s="90">
        <f t="shared" si="9"/>
        <v>6279.825</v>
      </c>
      <c r="F295" s="98">
        <v>0.1934</v>
      </c>
      <c r="G295" s="90">
        <f t="shared" si="10"/>
        <v>6413.745</v>
      </c>
    </row>
    <row r="296" spans="3:7" ht="12.75">
      <c r="C296" s="95" t="s">
        <v>414</v>
      </c>
      <c r="D296" s="98">
        <v>0.0919</v>
      </c>
      <c r="E296" s="90">
        <f t="shared" si="9"/>
        <v>5883.435</v>
      </c>
      <c r="F296" s="98">
        <v>0.0875</v>
      </c>
      <c r="G296" s="90">
        <f t="shared" si="10"/>
        <v>6024.5625</v>
      </c>
    </row>
    <row r="297" spans="3:7" ht="12.75">
      <c r="C297" s="95" t="s">
        <v>415</v>
      </c>
      <c r="D297" s="98">
        <v>0.1244</v>
      </c>
      <c r="E297" s="90">
        <f t="shared" si="9"/>
        <v>6002.06</v>
      </c>
      <c r="F297" s="98">
        <v>0.1244</v>
      </c>
      <c r="G297" s="90">
        <f t="shared" si="10"/>
        <v>6160.17</v>
      </c>
    </row>
    <row r="298" spans="3:7" ht="12.75">
      <c r="C298" s="95" t="s">
        <v>416</v>
      </c>
      <c r="D298" s="98">
        <v>0.1675</v>
      </c>
      <c r="E298" s="90">
        <f t="shared" si="9"/>
        <v>6159.375</v>
      </c>
      <c r="F298" s="98">
        <v>0.1555</v>
      </c>
      <c r="G298" s="90">
        <f t="shared" si="10"/>
        <v>6274.4625</v>
      </c>
    </row>
    <row r="299" spans="3:7" ht="12.75">
      <c r="C299" s="95" t="s">
        <v>417</v>
      </c>
      <c r="D299" s="98">
        <v>0.0435</v>
      </c>
      <c r="E299" s="90">
        <f t="shared" si="9"/>
        <v>5706.775</v>
      </c>
      <c r="F299" s="98">
        <v>0.0435</v>
      </c>
      <c r="G299" s="90">
        <f t="shared" si="10"/>
        <v>5862.8625</v>
      </c>
    </row>
    <row r="300" spans="3:7" ht="12.75">
      <c r="C300" s="97" t="s">
        <v>418</v>
      </c>
      <c r="D300" s="98">
        <v>0.0449</v>
      </c>
      <c r="E300" s="90">
        <f t="shared" si="9"/>
        <v>5711.885</v>
      </c>
      <c r="F300" s="98">
        <v>0.0449</v>
      </c>
      <c r="G300" s="90">
        <f t="shared" si="10"/>
        <v>5868.0075</v>
      </c>
    </row>
    <row r="301" spans="3:7" ht="12.75">
      <c r="C301" s="95" t="s">
        <v>419</v>
      </c>
      <c r="D301" s="98">
        <v>0.2175</v>
      </c>
      <c r="E301" s="90">
        <f t="shared" si="9"/>
        <v>6341.875</v>
      </c>
      <c r="F301" s="98">
        <v>0.1925</v>
      </c>
      <c r="G301" s="90">
        <f t="shared" si="10"/>
        <v>6410.4375</v>
      </c>
    </row>
    <row r="302" spans="3:7" ht="12.75">
      <c r="C302" s="95" t="s">
        <v>420</v>
      </c>
      <c r="D302" s="98">
        <v>0.2309</v>
      </c>
      <c r="E302" s="90">
        <f t="shared" si="9"/>
        <v>6390.785</v>
      </c>
      <c r="F302" s="98">
        <v>0.2059</v>
      </c>
      <c r="G302" s="90">
        <f t="shared" si="10"/>
        <v>6459.6825</v>
      </c>
    </row>
    <row r="303" spans="3:7" ht="12.75">
      <c r="C303" s="97" t="s">
        <v>421</v>
      </c>
      <c r="D303" s="98">
        <v>0.1292</v>
      </c>
      <c r="E303" s="90">
        <f t="shared" si="9"/>
        <v>6019.58</v>
      </c>
      <c r="F303" s="98">
        <v>0.1292</v>
      </c>
      <c r="G303" s="90">
        <f t="shared" si="10"/>
        <v>6177.81</v>
      </c>
    </row>
    <row r="304" spans="3:7" ht="12.75">
      <c r="C304" s="95" t="s">
        <v>422</v>
      </c>
      <c r="D304" s="98">
        <v>0.0807</v>
      </c>
      <c r="E304" s="90">
        <f t="shared" si="9"/>
        <v>5842.555</v>
      </c>
      <c r="F304" s="98">
        <v>0.0807</v>
      </c>
      <c r="G304" s="90">
        <f t="shared" si="10"/>
        <v>5999.5725</v>
      </c>
    </row>
    <row r="305" spans="3:7" ht="12.75">
      <c r="C305" s="95" t="s">
        <v>434</v>
      </c>
      <c r="D305" s="98">
        <v>0.1426</v>
      </c>
      <c r="E305" s="90">
        <f t="shared" si="9"/>
        <v>6068.49</v>
      </c>
      <c r="F305" s="98">
        <v>0.1426</v>
      </c>
      <c r="G305" s="90">
        <f t="shared" si="10"/>
        <v>6227.055</v>
      </c>
    </row>
    <row r="306" spans="3:7" ht="12.7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Dana Teasley</cp:lastModifiedBy>
  <cp:lastPrinted>2021-04-30T20:10:28Z</cp:lastPrinted>
  <dcterms:created xsi:type="dcterms:W3CDTF">2009-06-30T21:24:16Z</dcterms:created>
  <dcterms:modified xsi:type="dcterms:W3CDTF">2021-05-11T21:17:29Z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