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2.xml" ContentType="application/vnd.openxmlformats-officedocument.spreadsheetml.table+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3365" tabRatio="911" activeTab="3"/>
  </bookViews>
  <sheets>
    <sheet name="1. Instructions" sheetId="1" r:id="rId1"/>
    <sheet name="2. Enrollment Projections" sheetId="2" r:id="rId2"/>
    <sheet name="3. Staffing Plan" sheetId="3" r:id="rId3"/>
    <sheet name="4. 5-Year Budget" sheetId="4" r:id="rId4"/>
    <sheet name="CONTROL" sheetId="5" state="veryHidden" r:id="rId5"/>
  </sheets>
  <definedNames>
    <definedName name="_xlfn._FV" hidden="1">#NAME?</definedName>
    <definedName name="_xlfn.F.DIST" hidden="1">#NAME?</definedName>
    <definedName name="_xlfn.IFERROR" hidden="1">#NAME?</definedName>
    <definedName name="AHS">'CONTROL'!$J$27:$J$29</definedName>
    <definedName name="CorpList">'CONTROL'!$C$16:$C$305</definedName>
    <definedName name="Schools">'CONTROL'!$C$15:$D$305</definedName>
  </definedNames>
  <calcPr fullCalcOnLoad="1"/>
</workbook>
</file>

<file path=xl/sharedStrings.xml><?xml version="1.0" encoding="utf-8"?>
<sst xmlns="http://schemas.openxmlformats.org/spreadsheetml/2006/main" count="952" uniqueCount="864">
  <si>
    <t>Title I</t>
  </si>
  <si>
    <t>Title II</t>
  </si>
  <si>
    <t xml:space="preserve"> </t>
  </si>
  <si>
    <t>Textbooks</t>
  </si>
  <si>
    <t>Legal Services</t>
  </si>
  <si>
    <t>Payroll Services</t>
  </si>
  <si>
    <t>Travel</t>
  </si>
  <si>
    <t>Year 1</t>
  </si>
  <si>
    <t>Year 2</t>
  </si>
  <si>
    <t>Year 3</t>
  </si>
  <si>
    <t>Year 4</t>
  </si>
  <si>
    <t>Year 5</t>
  </si>
  <si>
    <t>Professional Development</t>
  </si>
  <si>
    <t>Federal Lunch Program</t>
  </si>
  <si>
    <t>Federal Breakfast Reimbursement</t>
  </si>
  <si>
    <t>State Matching Funds for School Lunch Program</t>
  </si>
  <si>
    <t>Textbook Reimbursement</t>
  </si>
  <si>
    <t>Interest Income</t>
  </si>
  <si>
    <t>REVENUES</t>
  </si>
  <si>
    <t>IDEA- Part B Grant (Special Education)</t>
  </si>
  <si>
    <t>Contributions and Donations from Private Sources</t>
  </si>
  <si>
    <t>Other Fees</t>
  </si>
  <si>
    <t>Other Revenue (please describe)</t>
  </si>
  <si>
    <t>EXPENSES</t>
  </si>
  <si>
    <t>Business Manager/Director of Finance</t>
  </si>
  <si>
    <t>Total Administrative Staff:</t>
  </si>
  <si>
    <t>Teachers - Special Education</t>
  </si>
  <si>
    <t>Substitutes, Assistants, Paraprofessionals, Aides</t>
  </si>
  <si>
    <t>Summer School Staff</t>
  </si>
  <si>
    <t>Total Instructional Staff:</t>
  </si>
  <si>
    <t>Non-Instructional/Support Staff - See Footnotes</t>
  </si>
  <si>
    <t>Librarian</t>
  </si>
  <si>
    <t>Athletic Coaches</t>
  </si>
  <si>
    <t>Total Non-Instructional/Support Staff:</t>
  </si>
  <si>
    <t>Subtotal Wages and Salaries:</t>
  </si>
  <si>
    <t>Total Payroll Taxes and Benefits:</t>
  </si>
  <si>
    <t>Total Personnel Expenses:</t>
  </si>
  <si>
    <t>Library/Media Services (Other than Staff)</t>
  </si>
  <si>
    <t>Student Assessment</t>
  </si>
  <si>
    <t>Instructional Software</t>
  </si>
  <si>
    <t>Total Instructional Supplies and Resources:</t>
  </si>
  <si>
    <t>Governing Board Expenses</t>
  </si>
  <si>
    <t>Audit Services</t>
  </si>
  <si>
    <t>Financial Accounting</t>
  </si>
  <si>
    <t>Printing, Publishing, Duplicating Services</t>
  </si>
  <si>
    <t>Special Education Administration</t>
  </si>
  <si>
    <t>Food Services</t>
  </si>
  <si>
    <t>Water &amp; Sewage</t>
  </si>
  <si>
    <t>Waste Disposal</t>
  </si>
  <si>
    <t>Total Facilities Expenses:</t>
  </si>
  <si>
    <t>Bank Fees</t>
  </si>
  <si>
    <t>Depreciation Expense</t>
  </si>
  <si>
    <t>Total Other Expenses:</t>
  </si>
  <si>
    <t>TOTAL EXPENSES:</t>
  </si>
  <si>
    <t>Footnotes:</t>
  </si>
  <si>
    <t>INSTRUCTIONAL STAFF</t>
  </si>
  <si>
    <t>ADMIN &amp; SUPPORT</t>
  </si>
  <si>
    <t>Total Staff</t>
  </si>
  <si>
    <t>Student/teacher ratio</t>
  </si>
  <si>
    <t>Student/staff ratio</t>
  </si>
  <si>
    <t>1. Instructions</t>
  </si>
  <si>
    <t>2. Enrollment Projection</t>
  </si>
  <si>
    <t>3. Staffing Plan</t>
  </si>
  <si>
    <t>Notes:</t>
  </si>
  <si>
    <t>School Name:</t>
  </si>
  <si>
    <t>School Enrollment Projections</t>
  </si>
  <si>
    <t>Kindergarten</t>
  </si>
  <si>
    <t>Grade 1</t>
  </si>
  <si>
    <t>Grade 2</t>
  </si>
  <si>
    <t>Grade 3</t>
  </si>
  <si>
    <t>Grade 4</t>
  </si>
  <si>
    <t>Grade 5</t>
  </si>
  <si>
    <t>Grade 6</t>
  </si>
  <si>
    <t>Grade 7</t>
  </si>
  <si>
    <t>Grade 8</t>
  </si>
  <si>
    <t>Grade 9</t>
  </si>
  <si>
    <t>Grade 10</t>
  </si>
  <si>
    <t>Grade 11</t>
  </si>
  <si>
    <t>Grade 12</t>
  </si>
  <si>
    <t>Number</t>
  </si>
  <si>
    <t>Average Salary</t>
  </si>
  <si>
    <t>Total Expense</t>
  </si>
  <si>
    <t>Medicare</t>
  </si>
  <si>
    <t>Unemployment</t>
  </si>
  <si>
    <t>Enrollment</t>
  </si>
  <si>
    <t>BENEFITS</t>
  </si>
  <si>
    <t>Rate/Per Employee Expense</t>
  </si>
  <si>
    <t>Total Benefits:</t>
  </si>
  <si>
    <t>Total Admin &amp; Support Staff:</t>
  </si>
  <si>
    <t>SUMMARY</t>
  </si>
  <si>
    <t>Total Salaries:</t>
  </si>
  <si>
    <t>Total Salaries + Benefits:</t>
  </si>
  <si>
    <t>Other Expenses - See Footnotes</t>
  </si>
  <si>
    <t>Instructional Supplies and Resources - See Footnotes</t>
  </si>
  <si>
    <t>Special Instructions for Schools Contracting with a Management Company:</t>
  </si>
  <si>
    <t>= Information should be entered into light gray shaded cells.</t>
  </si>
  <si>
    <t>Adult Grant:</t>
  </si>
  <si>
    <t>5-Year Projected Staffing Plan</t>
  </si>
  <si>
    <t>Please include a note in the assumptions column and budget narrative if any of of the listed amounts include additional service, consulting, facility, or licensing fees paid to a management company or affiliate of a management company that are not included in Line 97 (CMO/EMO fee). For example, you should note any additional fees for instructional or support supplies and resources; license fees for materials, software, or educational programming; or fees related to the management, sale, or lease of real estate. Please also state whether your facility is leased or purchased from a management company or affiliate of a management company.</t>
  </si>
  <si>
    <t>School Corporation</t>
  </si>
  <si>
    <t>Data Validation List (Complexity)</t>
  </si>
  <si>
    <t>Instructions:</t>
  </si>
  <si>
    <t>+ Ensure all editable cells are unlocked and all un-editable cells are locked.</t>
  </si>
  <si>
    <t>+  On Review Tab, select “Protect Sheet” and make sure only “Select Unlocked Cells” is checked (PERFORM FOR EACH SHEET).</t>
  </si>
  <si>
    <t>+ Enter Password (STORE PASSWORD SOMEWHERE RECOVERABLE).</t>
  </si>
  <si>
    <t>+ To Hide “CONTROL” Sheet</t>
  </si>
  <si>
    <t xml:space="preserve">  - Switch to VBE (press [Alt]+[F11]).</t>
  </si>
  <si>
    <t xml:space="preserve">  - Select Sheet8(CONTROL).</t>
  </si>
  <si>
    <t xml:space="preserve">  - In Properties window, select “2 – xlSheetVeryHidden” from the Visible property's drop-down list.</t>
  </si>
  <si>
    <t xml:space="preserve">  - To Unhide, select “-1 – xlSheetVeryHidden” from the Visible property's drop-down list.</t>
  </si>
  <si>
    <r>
      <t xml:space="preserve">Select from drop-down list </t>
    </r>
    <r>
      <rPr>
        <sz val="10"/>
        <color indexed="8"/>
        <rFont val="Calibri"/>
        <family val="2"/>
      </rPr>
      <t>→</t>
    </r>
  </si>
  <si>
    <t>Adams Central Community Schools</t>
  </si>
  <si>
    <t>Alexandria Com School Corp</t>
  </si>
  <si>
    <t>Anderson Community School Corp</t>
  </si>
  <si>
    <t>Argos Community Schools</t>
  </si>
  <si>
    <t>Attica Consolidated Sch Corp</t>
  </si>
  <si>
    <t>Avon Community School Corp</t>
  </si>
  <si>
    <t>Barr-Reeve Com Schools Inc</t>
  </si>
  <si>
    <t>Bartholomew Con School Corp</t>
  </si>
  <si>
    <t>Batesville Community Sch Corp</t>
  </si>
  <si>
    <t>Baugo Community Schools</t>
  </si>
  <si>
    <t>Beech Grove City Schools</t>
  </si>
  <si>
    <t>Benton Community School Corp</t>
  </si>
  <si>
    <t>Blackford County Schools</t>
  </si>
  <si>
    <t>Bloomfield School District</t>
  </si>
  <si>
    <t>Blue River Valley Schools</t>
  </si>
  <si>
    <t>Bremen Public Schools</t>
  </si>
  <si>
    <t>Brown County School Corporation</t>
  </si>
  <si>
    <t>Brownsburg Community Sch Corp</t>
  </si>
  <si>
    <t>Brownstown Cnt Com Sch Corp</t>
  </si>
  <si>
    <t>C A Beard Memorial School Corp</t>
  </si>
  <si>
    <t>Cannelton City Schools</t>
  </si>
  <si>
    <t>Carmel Clay Schools</t>
  </si>
  <si>
    <t>Carroll Consolidated Sch Corp</t>
  </si>
  <si>
    <t>Caston School Corporation</t>
  </si>
  <si>
    <t>Center Grove Com Sch Corp</t>
  </si>
  <si>
    <t>Centerville-Abington Com Schs</t>
  </si>
  <si>
    <t>Central Noble Com School Corp</t>
  </si>
  <si>
    <t>Clark-Pleasant Com School Corp</t>
  </si>
  <si>
    <t>Clarksville Com School Corp</t>
  </si>
  <si>
    <t>Clay Community Schools</t>
  </si>
  <si>
    <t>Clinton Central School Corp</t>
  </si>
  <si>
    <t>Clinton Prairie School Corp</t>
  </si>
  <si>
    <t>Cloverdale Community Schools</t>
  </si>
  <si>
    <t>Community Schools of Frankfort</t>
  </si>
  <si>
    <t>Concord Community Schools</t>
  </si>
  <si>
    <t>Covington Community Sch Corp</t>
  </si>
  <si>
    <t>Cowan Community School Corp</t>
  </si>
  <si>
    <t>Crawford Co Com School Corp</t>
  </si>
  <si>
    <t>Crawfordsville Com Schools</t>
  </si>
  <si>
    <t>Crothersville Community Schools</t>
  </si>
  <si>
    <t>Crown Point Community Sch Corp</t>
  </si>
  <si>
    <t>Culver Community Schools Corp</t>
  </si>
  <si>
    <t>Daleville Community Schools</t>
  </si>
  <si>
    <t>Danville Community School Corp</t>
  </si>
  <si>
    <t>Decatur County Com Schools</t>
  </si>
  <si>
    <t>DeKalb Co Ctl United Sch Dist</t>
  </si>
  <si>
    <t>DeKalb Co Eastern Com Sch Dist</t>
  </si>
  <si>
    <t>Delaware Community School Corp</t>
  </si>
  <si>
    <t>Delphi Community School Corp</t>
  </si>
  <si>
    <t>Duneland School Corporation</t>
  </si>
  <si>
    <t>East Allen County Schools</t>
  </si>
  <si>
    <t>East Gibson School Corporation</t>
  </si>
  <si>
    <t>East Noble School Corp</t>
  </si>
  <si>
    <t>East Porter County School Corp</t>
  </si>
  <si>
    <t>East Washington School Corp</t>
  </si>
  <si>
    <t>Eastbrook Community Sch Corp</t>
  </si>
  <si>
    <t>Eastern Greene Schools</t>
  </si>
  <si>
    <t>Eastern Hancock Co Com Sch Corp</t>
  </si>
  <si>
    <t>Eastern Howard School Corp</t>
  </si>
  <si>
    <t>Eastern Pulaski Com Sch Corp</t>
  </si>
  <si>
    <t>Edinburgh Community Sch Corp</t>
  </si>
  <si>
    <t>Elkhart Community Schools</t>
  </si>
  <si>
    <t>Elwood Community School Corp</t>
  </si>
  <si>
    <t>Eminence Community School Corp</t>
  </si>
  <si>
    <t>Evansville-Vanderburgh Sch Corp</t>
  </si>
  <si>
    <t>Fairfield Community Schools</t>
  </si>
  <si>
    <t>Fayette County School Corp</t>
  </si>
  <si>
    <t>Flat Rock-Hawcreek School Corp</t>
  </si>
  <si>
    <t>Fort Wayne Community Schools</t>
  </si>
  <si>
    <t>Franklin Community School Corp</t>
  </si>
  <si>
    <t>Franklin County Com Sch Corp</t>
  </si>
  <si>
    <t>Franklin Township Com Sch Corp</t>
  </si>
  <si>
    <t>Frankton-Lapel Community Schs</t>
  </si>
  <si>
    <t>Fremont Community Schools</t>
  </si>
  <si>
    <t>Frontier School Corporation</t>
  </si>
  <si>
    <t>Garrett-Keyser-Butler Com</t>
  </si>
  <si>
    <t>Gary Community School Corp</t>
  </si>
  <si>
    <t>Goshen Community Schools</t>
  </si>
  <si>
    <t>Greater Clark County Schools</t>
  </si>
  <si>
    <t>Greater Jasper Con Schs</t>
  </si>
  <si>
    <t>Greencastle Community Sch Corp</t>
  </si>
  <si>
    <t>Greenfield-Central Com Schools</t>
  </si>
  <si>
    <t>Greensburg Community Schools</t>
  </si>
  <si>
    <t>Greenwood Community Sch Corp</t>
  </si>
  <si>
    <t>Griffith Public Schools</t>
  </si>
  <si>
    <t>Hamilton Community Schools</t>
  </si>
  <si>
    <t>Hamilton Heights School Corp</t>
  </si>
  <si>
    <t>Hamilton Southeastern Schools</t>
  </si>
  <si>
    <t>Hanover Community School Corp</t>
  </si>
  <si>
    <t>Huntington Co Com Sch Corp</t>
  </si>
  <si>
    <t>Indianapolis Public Schools</t>
  </si>
  <si>
    <t>Jac-Cen-Del Community Sch Corp</t>
  </si>
  <si>
    <t>Jay School Corp</t>
  </si>
  <si>
    <t>Jennings County Schools</t>
  </si>
  <si>
    <t>John Glenn School Corporation</t>
  </si>
  <si>
    <t>Kankakee Valley School Corp</t>
  </si>
  <si>
    <t>Knox Community School Corp</t>
  </si>
  <si>
    <t>Kokomo-Center Twp Con Sch Corp</t>
  </si>
  <si>
    <t>Lafayette School Corporation</t>
  </si>
  <si>
    <t>Lake Central School Corp</t>
  </si>
  <si>
    <t>Lake Ridge Schools</t>
  </si>
  <si>
    <t>Lake Station Community Schools</t>
  </si>
  <si>
    <t>Lakeland School Corporation</t>
  </si>
  <si>
    <t>Lanesville Community School Corp</t>
  </si>
  <si>
    <t>LaPorte Community School Corp</t>
  </si>
  <si>
    <t>Lawrenceburg Com School Corp</t>
  </si>
  <si>
    <t>Lebanon Community School Corp</t>
  </si>
  <si>
    <t>Liberty-Perry Com School Corp</t>
  </si>
  <si>
    <t>Linton-Stockton School Corp</t>
  </si>
  <si>
    <t>Logansport Community Sch Corp</t>
  </si>
  <si>
    <t>Loogootee Community Sch Corp</t>
  </si>
  <si>
    <t>M S D Bluffton-Harrison</t>
  </si>
  <si>
    <t>M S D Boone Township</t>
  </si>
  <si>
    <t>M S D Decatur Township</t>
  </si>
  <si>
    <t>M S D Lawrence Township</t>
  </si>
  <si>
    <t>M S D Martinsville Schools</t>
  </si>
  <si>
    <t>M S D Mount Vernon</t>
  </si>
  <si>
    <t>M S D North Posey Co Schools</t>
  </si>
  <si>
    <t>M S D of New Durham Township</t>
  </si>
  <si>
    <t>M S D Perry Township</t>
  </si>
  <si>
    <t>M S D Pike Township</t>
  </si>
  <si>
    <t>M S D Shakamak Schools</t>
  </si>
  <si>
    <t>M S D Southwest Allen County</t>
  </si>
  <si>
    <t>M S D Steuben County</t>
  </si>
  <si>
    <t>M S D Wabash County Schools</t>
  </si>
  <si>
    <t>M S D Warren County</t>
  </si>
  <si>
    <t>M S D Warren Township</t>
  </si>
  <si>
    <t>M S D Washington Township</t>
  </si>
  <si>
    <t>M S D Wayne Township</t>
  </si>
  <si>
    <t>Maconaquah School Corp</t>
  </si>
  <si>
    <t>Madison Consolidated Schools</t>
  </si>
  <si>
    <t>Madison-Grant United Sch Corp</t>
  </si>
  <si>
    <t>Manchester Community Schools</t>
  </si>
  <si>
    <t>Marion Community Schools</t>
  </si>
  <si>
    <t>Medora Community School Corp</t>
  </si>
  <si>
    <t>Merrillville Community School</t>
  </si>
  <si>
    <t>Michigan City Area Schools</t>
  </si>
  <si>
    <t>Middlebury Community Schools</t>
  </si>
  <si>
    <t>Milan Community Schools</t>
  </si>
  <si>
    <t>Mill Creek Community Sch Corp</t>
  </si>
  <si>
    <t>Mississinewa Community School Corp</t>
  </si>
  <si>
    <t>Mitchell Community Schools</t>
  </si>
  <si>
    <t>Monroe Central School Corp</t>
  </si>
  <si>
    <t>Monroe County Com Sch Corp</t>
  </si>
  <si>
    <t>Monroe-Gregg School District</t>
  </si>
  <si>
    <t>Mooresville Con School Corp</t>
  </si>
  <si>
    <t>Mt Vernon Community Sch Corp</t>
  </si>
  <si>
    <t>Muncie Community Schools</t>
  </si>
  <si>
    <t>Nettle Creek School Corp</t>
  </si>
  <si>
    <t>New Albany-Floyd Co Con Sch</t>
  </si>
  <si>
    <t>New Castle Community Sch Corp</t>
  </si>
  <si>
    <t>New Prairie United School Corp</t>
  </si>
  <si>
    <t>Nineveh-Hensley-Jackson United</t>
  </si>
  <si>
    <t>Noblesville Schools</t>
  </si>
  <si>
    <t>North Adams Community Schools</t>
  </si>
  <si>
    <t>North Central Parke Con Sch Corp</t>
  </si>
  <si>
    <t>North Daviess Com Schools</t>
  </si>
  <si>
    <t>North Gibson School Corp</t>
  </si>
  <si>
    <t>North Harrison Com School Corp</t>
  </si>
  <si>
    <t>North Judson-San Pierre Sch Corp</t>
  </si>
  <si>
    <t>North Knox School Corp</t>
  </si>
  <si>
    <t>North Lawrence Com Schools</t>
  </si>
  <si>
    <t>North Miami Community Schools</t>
  </si>
  <si>
    <t>North Montgomery Com Sch Corp</t>
  </si>
  <si>
    <t>North Newton School Corp</t>
  </si>
  <si>
    <t>North Putnam Community Schools</t>
  </si>
  <si>
    <t>North Spencer County Sch Corp</t>
  </si>
  <si>
    <t>North Vermillion Com Sch Corp</t>
  </si>
  <si>
    <t>North West Hendricks Schools</t>
  </si>
  <si>
    <t>North White School Corp</t>
  </si>
  <si>
    <t>Northeast Dubois Co Sch Corp</t>
  </si>
  <si>
    <t>Northeast School Corp</t>
  </si>
  <si>
    <t>Northeastern Wayne Schools</t>
  </si>
  <si>
    <t>Northern Wells Com Schools</t>
  </si>
  <si>
    <t>Northwest Allen County Schools</t>
  </si>
  <si>
    <t>Northwestern Con School Corp</t>
  </si>
  <si>
    <t>Northwestern School Corp</t>
  </si>
  <si>
    <t>Oak Hill United School Corp</t>
  </si>
  <si>
    <t>Oregon-Davis School Corp</t>
  </si>
  <si>
    <t>Orleans Community Schools</t>
  </si>
  <si>
    <t>Paoli Community School Corp</t>
  </si>
  <si>
    <t>Penn-Harris-Madison Sch Corp</t>
  </si>
  <si>
    <t>Perry Central Com Schools Corp</t>
  </si>
  <si>
    <t>Peru Community Schools</t>
  </si>
  <si>
    <t>Pike County School Corp</t>
  </si>
  <si>
    <t>Pioneer Regional School Corp</t>
  </si>
  <si>
    <t>Plainfield Community Sch Corp</t>
  </si>
  <si>
    <t>Plymouth Community School Corp</t>
  </si>
  <si>
    <t>Portage Township Schools</t>
  </si>
  <si>
    <t>Porter Township School Corp</t>
  </si>
  <si>
    <t>Prairie Heights Com Sch Corp</t>
  </si>
  <si>
    <t>Randolph Central School Corp</t>
  </si>
  <si>
    <t>Randolph Eastern School Corp</t>
  </si>
  <si>
    <t>Randolph Southern School Corp</t>
  </si>
  <si>
    <t>Rensselaer Central School Corp</t>
  </si>
  <si>
    <t>Richland-Bean Blossom C S C</t>
  </si>
  <si>
    <t>Richmond Community School</t>
  </si>
  <si>
    <t>Rising Sun-Ohio Co Com</t>
  </si>
  <si>
    <t>River Forest Community Sch Corp</t>
  </si>
  <si>
    <t>Rochester Community Sch Corp</t>
  </si>
  <si>
    <t>Rossville Con School District</t>
  </si>
  <si>
    <t>Rush County Schools</t>
  </si>
  <si>
    <t>Salem Community Schools</t>
  </si>
  <si>
    <t>School City of East Chicago</t>
  </si>
  <si>
    <t>School City of Hammond</t>
  </si>
  <si>
    <t>School City of Hobart</t>
  </si>
  <si>
    <t>School City of Mishawaka</t>
  </si>
  <si>
    <t>School Town of Highland</t>
  </si>
  <si>
    <t>School Town of Munster</t>
  </si>
  <si>
    <t>School Town of Speedway</t>
  </si>
  <si>
    <t>Scott County School District 1</t>
  </si>
  <si>
    <t>Scott County School District 2</t>
  </si>
  <si>
    <t>Seymour Community Schools</t>
  </si>
  <si>
    <t>Shelby Eastern Schools</t>
  </si>
  <si>
    <t>Shelbyville Central Schools</t>
  </si>
  <si>
    <t>Shenandoah School Corporation</t>
  </si>
  <si>
    <t>Sheridan Community Schools</t>
  </si>
  <si>
    <t>Shoals Community School Corp</t>
  </si>
  <si>
    <t>Smith-Green Community Schools</t>
  </si>
  <si>
    <t>South Adams Schools</t>
  </si>
  <si>
    <t>South Bend Community Sch Corp</t>
  </si>
  <si>
    <t>South Central Com School Corp</t>
  </si>
  <si>
    <t>South Dearborn Com School Corp</t>
  </si>
  <si>
    <t>South Gibson School Corp</t>
  </si>
  <si>
    <t>South Harrison Com Schools</t>
  </si>
  <si>
    <t>South Henry School Corp</t>
  </si>
  <si>
    <t>South Knox School Corp</t>
  </si>
  <si>
    <t>South Madison Com Sch Corp</t>
  </si>
  <si>
    <t>South Montgomery Com Sch Corp</t>
  </si>
  <si>
    <t>South Newton School Corp</t>
  </si>
  <si>
    <t>South Putnam Community Schools</t>
  </si>
  <si>
    <t>South Ripley Com Sch Corp</t>
  </si>
  <si>
    <t>South Spencer County Sch Corp</t>
  </si>
  <si>
    <t>South Vermillion Com Sch Corp</t>
  </si>
  <si>
    <t>Southeast Dubois Co Sch Corp</t>
  </si>
  <si>
    <t>Southeast Fountain School Corp</t>
  </si>
  <si>
    <t>Southern Hancock Co Com Sch Corp</t>
  </si>
  <si>
    <t>Southern Wells Com Schools</t>
  </si>
  <si>
    <t>Southwest Dubois Co Sch Corp</t>
  </si>
  <si>
    <t>Southwest Parke Com Sch Corp</t>
  </si>
  <si>
    <t>Southwest School Corp</t>
  </si>
  <si>
    <t>Southwestern Con Sch Shelby Co</t>
  </si>
  <si>
    <t>Southwestern-Jefferson Co Con</t>
  </si>
  <si>
    <t>Spencer-Owen Community Schools</t>
  </si>
  <si>
    <t>Springs Valley Com School Corp</t>
  </si>
  <si>
    <t>Sunman-Dearborn Com Sch Corp</t>
  </si>
  <si>
    <t>Switzerland County School Corp</t>
  </si>
  <si>
    <t>Taylor Community School Corp</t>
  </si>
  <si>
    <t>Tell City-Troy Twp School Corp</t>
  </si>
  <si>
    <t>Tippecanoe School Corp</t>
  </si>
  <si>
    <t>Tippecanoe Valley School Corp</t>
  </si>
  <si>
    <t>Tipton Community School Corp</t>
  </si>
  <si>
    <t>Tri-Central Community Schools</t>
  </si>
  <si>
    <t>Tri-County School Corp</t>
  </si>
  <si>
    <t>Tri-Creek School Corp</t>
  </si>
  <si>
    <t>Triton School Corporation</t>
  </si>
  <si>
    <t>Tri-Township Cons School Corp</t>
  </si>
  <si>
    <t>Twin Lakes School Corp</t>
  </si>
  <si>
    <t>Union Co/Clg Corner Joint Sch Dist</t>
  </si>
  <si>
    <t>Union School Corporation</t>
  </si>
  <si>
    <t>Union Township School Corp</t>
  </si>
  <si>
    <t>Union-North United School Corp</t>
  </si>
  <si>
    <t>Valparaiso Community Schools</t>
  </si>
  <si>
    <t>Vigo County School Corp</t>
  </si>
  <si>
    <t>Vincennes Community Sch Corp</t>
  </si>
  <si>
    <t>Wabash City Schools</t>
  </si>
  <si>
    <t>Wa-Nee Community Schools</t>
  </si>
  <si>
    <t>Warrick County School Corp</t>
  </si>
  <si>
    <t>Warsaw Community Schools</t>
  </si>
  <si>
    <t>Washington Com Schools Inc</t>
  </si>
  <si>
    <t>Wawasee Community School Corp</t>
  </si>
  <si>
    <t>Wes-Del Community Schools</t>
  </si>
  <si>
    <t>West Central School Corp</t>
  </si>
  <si>
    <t>West Lafayette Com School Corp</t>
  </si>
  <si>
    <t>West Noble School Corporation</t>
  </si>
  <si>
    <t>West Washington School Corp</t>
  </si>
  <si>
    <t>Western Boone Co Com Sch Dist</t>
  </si>
  <si>
    <t>Western School Corp</t>
  </si>
  <si>
    <t>Western Wayne Schools</t>
  </si>
  <si>
    <t>Westfield-Washington Schools</t>
  </si>
  <si>
    <t>Westview School Corporation</t>
  </si>
  <si>
    <t>White River Valley Sch Dist</t>
  </si>
  <si>
    <t>Whiting School City</t>
  </si>
  <si>
    <t>Whitko Community School Corp</t>
  </si>
  <si>
    <t>Whitley Co Cons Schools</t>
  </si>
  <si>
    <t>Zionsville Community Schools</t>
  </si>
  <si>
    <t>• Applicants proposing to operate a network of schools should add a worksheet or attach a separate file reflecting the consolidated network's 5-Year pro-forma budget, reflecting all components - including the regional back office/central office - of the Indiana network.
• This template is not intended to be exhaustive. If it is unclear to which line a particular item of revenue or expense belongs, add it to the closest approximation or to one of the "other" categories and make a note in the budget narrative.</t>
  </si>
  <si>
    <t>Lewis Cass School Corp</t>
  </si>
  <si>
    <t>Yorktown Community Schools</t>
  </si>
  <si>
    <t>Select from drop-down list →</t>
  </si>
  <si>
    <t>Average Salary (1)</t>
  </si>
  <si>
    <t>Health Insurance (2)</t>
  </si>
  <si>
    <t>Retirement Contributions</t>
  </si>
  <si>
    <t>Health Insurance</t>
  </si>
  <si>
    <t>Social Security/Medicare/Unemployment</t>
  </si>
  <si>
    <t>Payroll Taxes and Benefits - From Tab 3</t>
  </si>
  <si>
    <t>Total Adult Enrollment:</t>
  </si>
  <si>
    <t>Total K-12 Enrollment:</t>
  </si>
  <si>
    <t>Complexity Multiplier:</t>
  </si>
  <si>
    <t>Foundation Amount:</t>
  </si>
  <si>
    <t>ELL Adjustment:</t>
  </si>
  <si>
    <t>Grants</t>
  </si>
  <si>
    <t>$/ADM = "Foundation Amount" + ("Complexity Multiplier" * "Complexity Index")</t>
  </si>
  <si>
    <t xml:space="preserve">     (not currently calculated - See IC 20-43-6-3(b) STEP 4)</t>
  </si>
  <si>
    <t xml:space="preserve">     (not calculated for severe disabilities - See IC 20-43-7-6)</t>
  </si>
  <si>
    <t>Special Education Grant - From Tab 2</t>
  </si>
  <si>
    <t>Special Education</t>
  </si>
  <si>
    <t>English Learners</t>
  </si>
  <si>
    <t>K-12 Distribution (3)</t>
  </si>
  <si>
    <t>Adult Distribution (4)</t>
  </si>
  <si>
    <t>Adult Learners (1)</t>
  </si>
  <si>
    <t>Virtual Students (2)</t>
  </si>
  <si>
    <t>Estimated % of Students:</t>
  </si>
  <si>
    <t>Yes</t>
  </si>
  <si>
    <t>No</t>
  </si>
  <si>
    <t>Adult High School?</t>
  </si>
  <si>
    <t>High Ability (Gifted and Talented) Program</t>
  </si>
  <si>
    <t>Teacher Appreciation Grant</t>
  </si>
  <si>
    <t>Other State Grants (please describe) (1)</t>
  </si>
  <si>
    <t>Total State Revenue:</t>
  </si>
  <si>
    <t>State Revenue - See Footnotes</t>
  </si>
  <si>
    <t>Charter Facilities Assistance Program Grant (2011)</t>
  </si>
  <si>
    <t>Other Federal Revenue (please describe)</t>
  </si>
  <si>
    <t>Student Fees</t>
  </si>
  <si>
    <t>Executive Administration: Office of Superintendent</t>
  </si>
  <si>
    <t>School Administration: Office of the Principal</t>
  </si>
  <si>
    <t>Instructional Staff</t>
  </si>
  <si>
    <t>Teachers - Regular</t>
  </si>
  <si>
    <t>Social Workers, Guidence Counselors, Therapists</t>
  </si>
  <si>
    <t>Instructional Support Staff (4)</t>
  </si>
  <si>
    <t>Other Support Staff (please describe) (5)</t>
  </si>
  <si>
    <t>Nurse</t>
  </si>
  <si>
    <t>Information Technology</t>
  </si>
  <si>
    <t>Maintenance of Buildings, Grounds, Equipment (including Custodial Staff)</t>
  </si>
  <si>
    <t>Security Personnel</t>
  </si>
  <si>
    <t>Retirement Contributions (3)</t>
  </si>
  <si>
    <t>Social Security</t>
  </si>
  <si>
    <t>Other Compensation (4)</t>
  </si>
  <si>
    <t>The information provided herein does not, and is not intended to, constitute legal advice. Schools should consult an attorney and/or accountant for any questions about employment and employment tax matters before completing this worksheet.</t>
  </si>
  <si>
    <r>
      <t xml:space="preserve">•  Complete all relevant Grey Shaded areas -&gt; Name of Position, Number of Positions, Average Salary, Health Insurance, Retirement Contribution, and Other Benefits.
•  Projected salary and benefits should align with Year 0 and 5-Year budgets.
•  Please see footnotes below for additional information </t>
    </r>
    <r>
      <rPr>
        <u val="single"/>
        <sz val="11"/>
        <rFont val="Calibri"/>
        <family val="2"/>
      </rPr>
      <t>before</t>
    </r>
    <r>
      <rPr>
        <sz val="11"/>
        <rFont val="Calibri"/>
        <family val="2"/>
      </rPr>
      <t xml:space="preserve"> completing the worksheet.</t>
    </r>
  </si>
  <si>
    <t>Administrative Staff - See Footnote (3)</t>
  </si>
  <si>
    <t>Technology Supporting Instruction (computers, tablets, etc.)</t>
  </si>
  <si>
    <t>Enrichment Programs (athletics or extra-curricular activities)</t>
  </si>
  <si>
    <t>Administrative Resources</t>
  </si>
  <si>
    <t>Administrative Technology - Computers &amp; Software (not SiS)</t>
  </si>
  <si>
    <t>Other Administrative Expenses (please describe)</t>
  </si>
  <si>
    <t>Total Administrative Resources:</t>
  </si>
  <si>
    <t>Other Governing Board Expenses (please describe)</t>
  </si>
  <si>
    <t>Telecommunication &amp; IT Services</t>
  </si>
  <si>
    <t>Insurance (non-facility)</t>
  </si>
  <si>
    <t>Mail Services</t>
  </si>
  <si>
    <t>Student Information Services or Systems</t>
  </si>
  <si>
    <t>Transportation Services</t>
  </si>
  <si>
    <t>Marketing Expenses</t>
  </si>
  <si>
    <t>Other Services (please describe)</t>
  </si>
  <si>
    <t>Total Professional Purchased or Other Services:</t>
  </si>
  <si>
    <t>Capital Improvements</t>
  </si>
  <si>
    <t>Facility Lease/Mortgage Payments (please describe)</t>
  </si>
  <si>
    <t>Operating Leases</t>
  </si>
  <si>
    <t>Other Principal Payments</t>
  </si>
  <si>
    <t>Insurance (Facility)</t>
  </si>
  <si>
    <t>Purchase of Furniture, Fixtures, &amp; Equipment</t>
  </si>
  <si>
    <t>Electric &amp; Gas</t>
  </si>
  <si>
    <t>Purchased or Other Services (do not include staff expenses)</t>
  </si>
  <si>
    <t>Facilities Expenses (do not include staff expenses, e.g. custodian)</t>
  </si>
  <si>
    <t>Security Services</t>
  </si>
  <si>
    <t>Other Facility Expenses (please describe)</t>
  </si>
  <si>
    <t>Other Expenses (please describe)</t>
  </si>
  <si>
    <t>Indiana Charter School Board Administrative Fee (6)</t>
  </si>
  <si>
    <t>Management Fee (7)</t>
  </si>
  <si>
    <t>(1) Including, but not limited to: alternative education program grants (IC 20-30-8); educational technology plan grants (IC 20-20-13); school safety plan grants (IC 5-2-10.1-6); secured school fund grants (IC 10-21-1-2); dual language pilot program grants (IC 20-20-41-2); teacher and student achievement fund grants (IC 20-20-43-3); student and parent support services grants (IC 20-34-9); etc.</t>
  </si>
  <si>
    <t>(3)  Office of Superintendent includes the Head of School, School Leader, Executive Director, Chief Executive Officer, as well as associate or assistant executive positions; Office of the Principal includes Vice- and Assistant Principals; Other School Administration includes Chief Academic Officers; Directors, Deans, and Coordinators of: Curriculum, Instruction, Faculty, Students, Assessment, Student Affairs, Student Achievement, and similar positions.</t>
  </si>
  <si>
    <t>(4)  Includes Staffing for Instruction and Curriculum Development, Instructional Staff Training, etc.</t>
  </si>
  <si>
    <t>(5)  Secretary; Receptionist; Attendance Clerk; Office Manager, Cafeteria Worker, and other full or part-time employees not specifically described.</t>
  </si>
  <si>
    <r>
      <t xml:space="preserve">(2)  </t>
    </r>
    <r>
      <rPr>
        <b/>
        <sz val="11"/>
        <color indexed="8"/>
        <rFont val="Calibri"/>
        <family val="2"/>
      </rPr>
      <t>Health Insurance</t>
    </r>
    <r>
      <rPr>
        <sz val="11"/>
        <color theme="1"/>
        <rFont val="Calibri"/>
        <family val="2"/>
      </rPr>
      <t xml:space="preserve"> includes Group Life Insurance, Group Health Insurance, Group Accident Insurance, Other Authorized Group Insurance, and Workers Compensation Insurance.</t>
    </r>
  </si>
  <si>
    <r>
      <t xml:space="preserve">(3) </t>
    </r>
    <r>
      <rPr>
        <b/>
        <sz val="11"/>
        <color indexed="8"/>
        <rFont val="Calibri"/>
        <family val="2"/>
      </rPr>
      <t>Retirement Contributions</t>
    </r>
    <r>
      <rPr>
        <sz val="11"/>
        <color theme="1"/>
        <rFont val="Calibri"/>
        <family val="2"/>
      </rPr>
      <t xml:space="preserve"> includes Severance/Early Retirement Pay, Public Employees Retirement Fund, Teachers Retirement Fund, Public Employees Retirement Fund (Optional Contribution), Teacher Retirement Fund (Optional Contribution).</t>
    </r>
  </si>
  <si>
    <r>
      <t xml:space="preserve">(1)  Amounts paid to "employees" regardless of whether they are full-time, part-time, or limited-time should be listed in the </t>
    </r>
    <r>
      <rPr>
        <b/>
        <sz val="11"/>
        <color indexed="8"/>
        <rFont val="Calibri"/>
        <family val="2"/>
      </rPr>
      <t>Average Salary</t>
    </r>
    <r>
      <rPr>
        <sz val="11"/>
        <color theme="1"/>
        <rFont val="Calibri"/>
        <family val="2"/>
      </rPr>
      <t xml:space="preserve"> column (Rows 15-47) for each year. All pay provided to an employee for services performed should be included, including salaries, vacation allowances, bonuses, stipends, commissions, and taxable fringe benefits. For more information, see https://www.irs.gov/publications/p15. </t>
    </r>
  </si>
  <si>
    <t>If a line item is completed that includes the words "(please describe)" a specific description of the item must be provided in the appropriate box in Column L.
Failure to provide a description as requested will result in rejection of the submission.</t>
  </si>
  <si>
    <t>Additional Information</t>
  </si>
  <si>
    <t>Other State Grants (Row 29)</t>
  </si>
  <si>
    <t>Other Federal Revenue (Row 41)</t>
  </si>
  <si>
    <t>Federal Revenue - See Footnotes</t>
  </si>
  <si>
    <t>Other Revenue</t>
  </si>
  <si>
    <t>Total Federal Revenue:</t>
  </si>
  <si>
    <t>Total Other Revenue:</t>
  </si>
  <si>
    <t>TOTAL REVENUE:</t>
  </si>
  <si>
    <t>Other Support Staff (Row 78)</t>
  </si>
  <si>
    <t>Other Compensation (please describe)</t>
  </si>
  <si>
    <t>Other Compensation (Row 94)</t>
  </si>
  <si>
    <t>Other Administrative Expenses (Row 114)</t>
  </si>
  <si>
    <t>Other Governing Board Expenses (Row 120)</t>
  </si>
  <si>
    <t>Other Services (Row 138)</t>
  </si>
  <si>
    <t>Other Expenses (Row 167)</t>
  </si>
  <si>
    <t>CHANGE IN NET ASSETS:</t>
  </si>
  <si>
    <t>Total Governing Board Expenses:</t>
  </si>
  <si>
    <t>Other School Administration</t>
  </si>
  <si>
    <t>Lease, Mortgage, &amp; Other Facilities (Rows 143, 158)</t>
  </si>
  <si>
    <r>
      <t xml:space="preserve">(4) </t>
    </r>
    <r>
      <rPr>
        <b/>
        <sz val="11"/>
        <color indexed="8"/>
        <rFont val="Calibri"/>
        <family val="2"/>
      </rPr>
      <t>Other Compensation</t>
    </r>
    <r>
      <rPr>
        <sz val="11"/>
        <color theme="1"/>
        <rFont val="Calibri"/>
        <family val="2"/>
      </rPr>
      <t xml:space="preserve"> - Includes any other benefits not otherwise classified above, including payments made to independent contractors. This cell should reflect the sum total of all Other Compensation for the year.</t>
    </r>
  </si>
  <si>
    <t>Other Revenue (Row 50)</t>
  </si>
  <si>
    <t>Instructions for Renewal Budget Projections Workbook</t>
  </si>
  <si>
    <t>Name of Charter School:</t>
  </si>
  <si>
    <t>First Year of New Charter (Renewal Year):</t>
  </si>
  <si>
    <t>Location:</t>
  </si>
  <si>
    <t>4. 5-Year Budget</t>
  </si>
  <si>
    <t>Renewal Year:</t>
  </si>
  <si>
    <t>(must align with Renewal Application Enrollment Plan)</t>
  </si>
  <si>
    <t>Is the school an Adult High School (please see instructions):</t>
  </si>
  <si>
    <t>Current Year</t>
  </si>
  <si>
    <t>• Please complete the enrollment table for the school's current year, and provide enrollment projections for the next five (5) years beginning with the Renewal Year.</t>
  </si>
  <si>
    <t>Notes &amp; Instructions</t>
  </si>
  <si>
    <t>Free/Reduced Priced Lunch</t>
  </si>
  <si>
    <t>Renewal Year</t>
  </si>
  <si>
    <t>5-Year Projected  Annual Operating Budget  (Fiscal Year July 1-June 30)</t>
  </si>
  <si>
    <t>Other Instructional Supplies and Resources (Row 108)</t>
  </si>
  <si>
    <t>Other Instructional Supplies (please describe)</t>
  </si>
  <si>
    <t>Escrow</t>
  </si>
  <si>
    <t>(6)  Three quarters of one percent (0.75%) of the basic tuition support or adult learner grant amount received by the school.</t>
  </si>
  <si>
    <t>(7)  Include only those fees (per-pupil, contingent, or fixed) paid to a management company for educational or management services and describe how the fee is calculated in the budget narrative. All amounts separate from a specific “management fee” paid to a management company or an affiliate of the management company must be included elsewhere in the worksheet (e.g., lease payments, instructional supplies, software, technology, etc.) and described in the “Other Expenses” Column and/or in the Budget Narrative.</t>
  </si>
  <si>
    <r>
      <rPr>
        <b/>
        <sz val="11"/>
        <color indexed="8"/>
        <rFont val="Calibri"/>
        <family val="2"/>
      </rPr>
      <t>A note about classifying workers</t>
    </r>
    <r>
      <rPr>
        <sz val="11"/>
        <color theme="1"/>
        <rFont val="Calibri"/>
        <family val="2"/>
      </rPr>
      <t xml:space="preserve">:
Generally, an individual who performs services for you is your "employee" if you have the right to control what work will be done and how it will be done. An individual who performs services for you is an "independent contractor" if the you have the right to control or direct </t>
    </r>
    <r>
      <rPr>
        <u val="single"/>
        <sz val="11"/>
        <color indexed="8"/>
        <rFont val="Calibri"/>
        <family val="2"/>
      </rPr>
      <t>only</t>
    </r>
    <r>
      <rPr>
        <sz val="11"/>
        <color theme="1"/>
        <rFont val="Calibri"/>
        <family val="2"/>
      </rPr>
      <t xml:space="preserve"> the result of the work, but not what will be done and how it will be done. This is an important distinction because an employee's wages are subject to employment tax withholding while an independent contractor's earnings are subject to self-employment tax.  However, there are many factors used by the IRS to determine whether an individual is an employee or independent contractor.  See, https://www.irs.gov/businesses/small-businesses-self-employed/independent-contractor-self-employed-or-employee. Please note that the IRS has issued a number of rulings and advisory opinions holding, based on the specific facts, that an individual rendering services as a substitute teacher should be considered to be an employee and not an independent contractor. Misclassification of an employee as an independent contractor may result in additional payroll taxes due, as well as possible interest and penalties. </t>
    </r>
    <r>
      <rPr>
        <b/>
        <sz val="11"/>
        <color indexed="8"/>
        <rFont val="Calibri"/>
        <family val="2"/>
      </rPr>
      <t xml:space="preserve">Please consult your attorney before classifying an employee. Payments made to "independent contractors" should be listed as  "Other Compensation" on Row 58, and explained in the budget narrative. Do not include payments made to independent contractors on Rows 15-47. 
</t>
    </r>
  </si>
  <si>
    <t xml:space="preserve">• All organizers submitting a Charter Renewal Application to the Indiana Charter School Board must complete worksheets 1 through 4 of the Renewal Budget Projections Workbook. No information is required to be entered into WHITE cells, they will autofill as information is entered into GREY cells. 
• Column and Row references in these instructions are to the Excel spreadsheet Column or Row. </t>
  </si>
  <si>
    <t>• Please provide a list of administrative, instructional, and other staff along with estimates of proposed salaries and benefits. Please include both full and part-time employees and contractors. Projected salary and benefits should align with current and 5-Year budgets.
• The estimated "average salary" for each position should include all taxable amounts (including taxable fringe benefits, stipends, bonuses, awards, and allowances).
• "Other Insurance" includes health care, long-term care, life, disability.
• "Other Benefits" are non-taxable benefits (e.g., educational assistance, dependent care assistance, transportation benefits, non-taxable fringe benefits, etc.).</t>
  </si>
  <si>
    <t>• Please provide budget projections for the Current Year and the next 5 years. Note that the information provided in Tab 3 must align with the personnel expenses provided in Tab 4 or Tab 4 will throw an ERROR.</t>
  </si>
  <si>
    <t>Ver. 07.26.2023</t>
  </si>
  <si>
    <r>
      <rPr>
        <b/>
        <sz val="11"/>
        <rFont val="Calibri"/>
        <family val="2"/>
      </rPr>
      <t>Please complete the enrollment table for the school's current year, and provide enrollment projections for the next five (5) years beginning with the Renewal Year.</t>
    </r>
    <r>
      <rPr>
        <sz val="11"/>
        <rFont val="Calibri"/>
        <family val="2"/>
      </rPr>
      <t xml:space="preserve">
1) An "adult high school" is a charter school that has a majority of enrolled students that: (1) belong to a graduation cohort that has already graduated; or (2) are over the age of eighteen (18) years of age; at the time the student was first enrolled at the school. ICSB is prohibited from authorizing an adult high school unless the general assembly has made a specific appropriation for the high school pursuant to Indiana Code 20-24-7-13.5. If your proposal is for an adult high school, complete Row 31 only.
2) A "virtual student" is defined as a student for whom at least fifty percent (50%) of the instructional services received from the school is virtual instruction. Virtual instruction means instruction that  is provided in an interactive learning environment created through technology in which students are separated from their teacher by time or space, or both. Students receiving more than 50% of their instruction virtually generate eighty-five percent (85%) of the foundation formula amount rather than 100%. The analysis is applicable on a per student basis.
3) The "basic" tuition support grant for K-12 schools is equal to the following formula:
     (Foundation Amount X ADM) + ((Complexity Multiplier  X Complexity Index) X ADM)
The Distribution calculations are an estimate based on projected enrollment multiplied by basic tuition support in the amounts as set forth in the most recently passed (2024-25 FY) budget-  Foundation = $6,590 for the 2023-24 SY and $6,681 for the 2024-25 SY (and beyond) and Complexity Multiplier = $3,983 for the 2023-24 SY and $4,024 for the 2024-25 SY. The school's actual distribution will be based on the school's ADM count of eligible pupils enrolled in the school on two count dates (in October and February) multiplied by the basic tuition support calculation. The calculation uses the Complexity Index for the school corporation in which the proposed charter school will be located- the school's actual Complexity Index amount will likely differ. The Special Education Grant amount is calculated on Tab 4 and uses the grant amount for moderate disabilities ($2,930 for the 2024-25 SY). The grant amount for severe disabilities is $11,695 for the 2024-25 SY).
4)  The Adult Learner Grant amount for adult high schools is $6,750. The Adult Distribution is calculated by multiplying Total Enrollment by the Adult Grant. </t>
    </r>
  </si>
  <si>
    <t>Charter School Capital Grants Fund</t>
  </si>
  <si>
    <t>Common School Fund</t>
  </si>
  <si>
    <t>Property Tax Sharing (2)</t>
  </si>
  <si>
    <t>Operating/Safety Referendum Sharing (2)</t>
  </si>
  <si>
    <t>Indiana Bond Bank</t>
  </si>
  <si>
    <t>Basic Tuition Support / Adult Learners Grant - From Tab 2</t>
  </si>
  <si>
    <t>Honors Diploma/Academic Performance Grant</t>
  </si>
  <si>
    <t>Career and  Technical Education</t>
  </si>
  <si>
    <t>Non-English Speaking Program</t>
  </si>
  <si>
    <t>Charter and Innovation Network School Grant ($1,400 per student)</t>
  </si>
  <si>
    <t>Formative (Interim) Assessment Grant</t>
  </si>
  <si>
    <t>Curricular Material Reimbursement Program ($150 per student)</t>
  </si>
  <si>
    <t>Remediation Testing Grant</t>
  </si>
  <si>
    <t>Interest Expense  (as accrued)</t>
  </si>
  <si>
    <t>Repair and Maintenance Services (include supply costs)</t>
  </si>
  <si>
    <t>Custodial Services (include supply costs)</t>
  </si>
  <si>
    <t>(2) Marion, Lake, St. Joseph, and Vanderburgh counties only.</t>
  </si>
  <si>
    <t>Public Charter School Program Grant</t>
  </si>
  <si>
    <t>All Grant amounts are from 2023 Biennial Budget. Complexity Index Data (Columns D &amp; F) are taken from LSA Budget Projections Run (04/27/23).
Over the biennium, Column E (FY 24) is used for Current Year and Column G (FY 25) is used for Years 1-5.</t>
  </si>
  <si>
    <t>Corp No.</t>
  </si>
  <si>
    <t>FY 24 Index</t>
  </si>
  <si>
    <t>FY 24 $/ADM</t>
  </si>
  <si>
    <t>FY 25 Index2</t>
  </si>
  <si>
    <t>FY 25 $/ADM</t>
  </si>
  <si>
    <t>FY 2024</t>
  </si>
  <si>
    <t>FY 2025</t>
  </si>
  <si>
    <t>0015</t>
  </si>
  <si>
    <t>5265</t>
  </si>
  <si>
    <t>5275</t>
  </si>
  <si>
    <t>5470</t>
  </si>
  <si>
    <t>Sped Grant (moderate):</t>
  </si>
  <si>
    <t>2435</t>
  </si>
  <si>
    <t>3315</t>
  </si>
  <si>
    <t>Charter Grant</t>
  </si>
  <si>
    <t>1315</t>
  </si>
  <si>
    <t>0365</t>
  </si>
  <si>
    <t>6895</t>
  </si>
  <si>
    <t>2260</t>
  </si>
  <si>
    <t>5380</t>
  </si>
  <si>
    <t>0395</t>
  </si>
  <si>
    <t>0515</t>
  </si>
  <si>
    <t>2920</t>
  </si>
  <si>
    <t>3405</t>
  </si>
  <si>
    <t>0935</t>
  </si>
  <si>
    <t>Borden-Henryville Sch Corp</t>
  </si>
  <si>
    <t>5480</t>
  </si>
  <si>
    <t>0670</t>
  </si>
  <si>
    <t>3305</t>
  </si>
  <si>
    <t>3695</t>
  </si>
  <si>
    <t>3455</t>
  </si>
  <si>
    <t>6340</t>
  </si>
  <si>
    <t>3060</t>
  </si>
  <si>
    <t>0750</t>
  </si>
  <si>
    <t>2650</t>
  </si>
  <si>
    <t>4205</t>
  </si>
  <si>
    <t>8360</t>
  </si>
  <si>
    <t>6055</t>
  </si>
  <si>
    <t>4145</t>
  </si>
  <si>
    <t>1000</t>
  </si>
  <si>
    <t>1125</t>
  </si>
  <si>
    <t>1150</t>
  </si>
  <si>
    <t>1160</t>
  </si>
  <si>
    <t>6750</t>
  </si>
  <si>
    <t>1170</t>
  </si>
  <si>
    <t>2270</t>
  </si>
  <si>
    <t>2440</t>
  </si>
  <si>
    <t>1900</t>
  </si>
  <si>
    <t>1300</t>
  </si>
  <si>
    <t>5855</t>
  </si>
  <si>
    <t>3710</t>
  </si>
  <si>
    <t>4660</t>
  </si>
  <si>
    <t>5455</t>
  </si>
  <si>
    <t>1940</t>
  </si>
  <si>
    <t>3325</t>
  </si>
  <si>
    <t>1655</t>
  </si>
  <si>
    <t>1835</t>
  </si>
  <si>
    <t>1805</t>
  </si>
  <si>
    <t>1875</t>
  </si>
  <si>
    <t>0755</t>
  </si>
  <si>
    <t>6470</t>
  </si>
  <si>
    <t>0255</t>
  </si>
  <si>
    <t>2725</t>
  </si>
  <si>
    <t>6065</t>
  </si>
  <si>
    <t>6510</t>
  </si>
  <si>
    <t>8215</t>
  </si>
  <si>
    <t>2815</t>
  </si>
  <si>
    <t>2940</t>
  </si>
  <si>
    <t>3145</t>
  </si>
  <si>
    <t>3480</t>
  </si>
  <si>
    <t>6620</t>
  </si>
  <si>
    <t>4215</t>
  </si>
  <si>
    <t>2305</t>
  </si>
  <si>
    <t>5280</t>
  </si>
  <si>
    <t>5910</t>
  </si>
  <si>
    <t>7995</t>
  </si>
  <si>
    <t>2155</t>
  </si>
  <si>
    <t>2395</t>
  </si>
  <si>
    <t>0370</t>
  </si>
  <si>
    <t>0235</t>
  </si>
  <si>
    <t>4225</t>
  </si>
  <si>
    <t>2475</t>
  </si>
  <si>
    <t>5310</t>
  </si>
  <si>
    <t>5245</t>
  </si>
  <si>
    <t>7605</t>
  </si>
  <si>
    <t>8525</t>
  </si>
  <si>
    <t>1820</t>
  </si>
  <si>
    <t>4690</t>
  </si>
  <si>
    <t>2315</t>
  </si>
  <si>
    <t>1010</t>
  </si>
  <si>
    <t>2120</t>
  </si>
  <si>
    <t>6755</t>
  </si>
  <si>
    <t>3125</t>
  </si>
  <si>
    <t>1730</t>
  </si>
  <si>
    <t>4245</t>
  </si>
  <si>
    <t>4700</t>
  </si>
  <si>
    <t>7610</t>
  </si>
  <si>
    <t>3025</t>
  </si>
  <si>
    <t>3005</t>
  </si>
  <si>
    <t>4580</t>
  </si>
  <si>
    <t>3625</t>
  </si>
  <si>
    <t>5385</t>
  </si>
  <si>
    <t>6900</t>
  </si>
  <si>
    <t>3945</t>
  </si>
  <si>
    <t>4015</t>
  </si>
  <si>
    <t>7150</t>
  </si>
  <si>
    <t>3785</t>
  </si>
  <si>
    <t>7525</t>
  </si>
  <si>
    <t>3500</t>
  </si>
  <si>
    <t>7855</t>
  </si>
  <si>
    <t>4615</t>
  </si>
  <si>
    <t>4650</t>
  </si>
  <si>
    <t>4680</t>
  </si>
  <si>
    <t>4535</t>
  </si>
  <si>
    <t>3160</t>
  </si>
  <si>
    <t>4945</t>
  </si>
  <si>
    <t>1620</t>
  </si>
  <si>
    <t>0665</t>
  </si>
  <si>
    <t>0815</t>
  </si>
  <si>
    <t>1895</t>
  </si>
  <si>
    <t>2950</t>
  </si>
  <si>
    <t>0875</t>
  </si>
  <si>
    <t>5525</t>
  </si>
  <si>
    <t>8445</t>
  </si>
  <si>
    <t>6460</t>
  </si>
  <si>
    <t>5300</t>
  </si>
  <si>
    <t>5330</t>
  </si>
  <si>
    <t>5925</t>
  </si>
  <si>
    <t>6590</t>
  </si>
  <si>
    <t>6600</t>
  </si>
  <si>
    <t>4860</t>
  </si>
  <si>
    <t>5340</t>
  </si>
  <si>
    <t>5350</t>
  </si>
  <si>
    <t>2960</t>
  </si>
  <si>
    <t>0125</t>
  </si>
  <si>
    <t>7615</t>
  </si>
  <si>
    <t>8050</t>
  </si>
  <si>
    <t>8115</t>
  </si>
  <si>
    <t>5360</t>
  </si>
  <si>
    <t>5370</t>
  </si>
  <si>
    <t>5375</t>
  </si>
  <si>
    <t>5615</t>
  </si>
  <si>
    <t>3995</t>
  </si>
  <si>
    <t>2825</t>
  </si>
  <si>
    <t>8045</t>
  </si>
  <si>
    <t>2865</t>
  </si>
  <si>
    <t>3640</t>
  </si>
  <si>
    <t>4600</t>
  </si>
  <si>
    <t>4925</t>
  </si>
  <si>
    <t>2275</t>
  </si>
  <si>
    <t>6910</t>
  </si>
  <si>
    <t>3335</t>
  </si>
  <si>
    <t>2855</t>
  </si>
  <si>
    <t>5085</t>
  </si>
  <si>
    <t>6820</t>
  </si>
  <si>
    <t>5740</t>
  </si>
  <si>
    <t>5900</t>
  </si>
  <si>
    <t>5930</t>
  </si>
  <si>
    <t>3135</t>
  </si>
  <si>
    <t>1970</t>
  </si>
  <si>
    <t>8305</t>
  </si>
  <si>
    <t>2400</t>
  </si>
  <si>
    <t>3445</t>
  </si>
  <si>
    <t>4805</t>
  </si>
  <si>
    <t>4255</t>
  </si>
  <si>
    <t>3070</t>
  </si>
  <si>
    <t>0025</t>
  </si>
  <si>
    <t>6375</t>
  </si>
  <si>
    <t>1375</t>
  </si>
  <si>
    <t>2735</t>
  </si>
  <si>
    <t>3180</t>
  </si>
  <si>
    <t>7515</t>
  </si>
  <si>
    <t>4315</t>
  </si>
  <si>
    <t>5075</t>
  </si>
  <si>
    <t>5620</t>
  </si>
  <si>
    <t>5835</t>
  </si>
  <si>
    <t>5945</t>
  </si>
  <si>
    <t>6715</t>
  </si>
  <si>
    <t>7385</t>
  </si>
  <si>
    <t>8010</t>
  </si>
  <si>
    <t>3295</t>
  </si>
  <si>
    <t>8515</t>
  </si>
  <si>
    <t>2040</t>
  </si>
  <si>
    <t>7645</t>
  </si>
  <si>
    <t>8375</t>
  </si>
  <si>
    <t>8435</t>
  </si>
  <si>
    <t>0225</t>
  </si>
  <si>
    <t>7350</t>
  </si>
  <si>
    <t>3470</t>
  </si>
  <si>
    <t>5625</t>
  </si>
  <si>
    <t>7495</t>
  </si>
  <si>
    <t>61445</t>
  </si>
  <si>
    <t>6155</t>
  </si>
  <si>
    <t>7175</t>
  </si>
  <si>
    <t>6325</t>
  </si>
  <si>
    <t>5635</t>
  </si>
  <si>
    <t>6445</t>
  </si>
  <si>
    <t>0775</t>
  </si>
  <si>
    <t>3330</t>
  </si>
  <si>
    <t>5485</t>
  </si>
  <si>
    <t>6550</t>
  </si>
  <si>
    <t>6520</t>
  </si>
  <si>
    <t>4515</t>
  </si>
  <si>
    <t>6825</t>
  </si>
  <si>
    <t>6835</t>
  </si>
  <si>
    <t>6805</t>
  </si>
  <si>
    <t>3815</t>
  </si>
  <si>
    <t>5705</t>
  </si>
  <si>
    <t>8385</t>
  </si>
  <si>
    <t>6080</t>
  </si>
  <si>
    <t>4590</t>
  </si>
  <si>
    <t>2645</t>
  </si>
  <si>
    <t>1180</t>
  </si>
  <si>
    <t>6995</t>
  </si>
  <si>
    <t>8205</t>
  </si>
  <si>
    <t>4670</t>
  </si>
  <si>
    <t>4710</t>
  </si>
  <si>
    <t>4730</t>
  </si>
  <si>
    <t>7200</t>
  </si>
  <si>
    <t>4720</t>
  </si>
  <si>
    <t>4740</t>
  </si>
  <si>
    <t>5400</t>
  </si>
  <si>
    <t>7230</t>
  </si>
  <si>
    <t>7255</t>
  </si>
  <si>
    <t>3675</t>
  </si>
  <si>
    <t>7285</t>
  </si>
  <si>
    <t>7365</t>
  </si>
  <si>
    <t>3435</t>
  </si>
  <si>
    <t>3055</t>
  </si>
  <si>
    <t>5520</t>
  </si>
  <si>
    <t>0945</t>
  </si>
  <si>
    <t>Silver Creek Community Schools</t>
  </si>
  <si>
    <t>8625</t>
  </si>
  <si>
    <t>0035</t>
  </si>
  <si>
    <t>7205</t>
  </si>
  <si>
    <t>4940</t>
  </si>
  <si>
    <t>1600</t>
  </si>
  <si>
    <t>2765</t>
  </si>
  <si>
    <t>3190</t>
  </si>
  <si>
    <t>3415</t>
  </si>
  <si>
    <t>4325</t>
  </si>
  <si>
    <t>5255</t>
  </si>
  <si>
    <t>5845</t>
  </si>
  <si>
    <t>5995</t>
  </si>
  <si>
    <t>6705</t>
  </si>
  <si>
    <t>6865</t>
  </si>
  <si>
    <t>7445</t>
  </si>
  <si>
    <t>8020</t>
  </si>
  <si>
    <t>2100</t>
  </si>
  <si>
    <t>2455</t>
  </si>
  <si>
    <t>3115</t>
  </si>
  <si>
    <t>8425</t>
  </si>
  <si>
    <t>2110</t>
  </si>
  <si>
    <t>6260</t>
  </si>
  <si>
    <t>7715</t>
  </si>
  <si>
    <t>7360</t>
  </si>
  <si>
    <t>4000</t>
  </si>
  <si>
    <t>6195</t>
  </si>
  <si>
    <t>6160</t>
  </si>
  <si>
    <t>1560</t>
  </si>
  <si>
    <t>7775</t>
  </si>
  <si>
    <t>3460</t>
  </si>
  <si>
    <t>6350</t>
  </si>
  <si>
    <t>7865</t>
  </si>
  <si>
    <t>4445</t>
  </si>
  <si>
    <t>7945</t>
  </si>
  <si>
    <t>7935</t>
  </si>
  <si>
    <t>8535</t>
  </si>
  <si>
    <t>4645</t>
  </si>
  <si>
    <t>5495</t>
  </si>
  <si>
    <t>4915</t>
  </si>
  <si>
    <t>8565</t>
  </si>
  <si>
    <t>7950</t>
  </si>
  <si>
    <t>6795</t>
  </si>
  <si>
    <t>6530</t>
  </si>
  <si>
    <t>7215</t>
  </si>
  <si>
    <t>6560</t>
  </si>
  <si>
    <t>8030</t>
  </si>
  <si>
    <t>4335</t>
  </si>
  <si>
    <t>8060</t>
  </si>
  <si>
    <t>2285</t>
  </si>
  <si>
    <t>8130</t>
  </si>
  <si>
    <t>4415</t>
  </si>
  <si>
    <t>1405</t>
  </si>
  <si>
    <t>4345</t>
  </si>
  <si>
    <t>1885</t>
  </si>
  <si>
    <t>6630</t>
  </si>
  <si>
    <t>7875</t>
  </si>
  <si>
    <t>8220</t>
  </si>
  <si>
    <t>0615</t>
  </si>
  <si>
    <t>3490</t>
  </si>
  <si>
    <t>8355</t>
  </si>
  <si>
    <t>3030</t>
  </si>
  <si>
    <t>4525</t>
  </si>
  <si>
    <t>2980</t>
  </si>
  <si>
    <t>4760</t>
  </si>
  <si>
    <t>4455</t>
  </si>
  <si>
    <t>8665</t>
  </si>
  <si>
    <t>1910</t>
  </si>
  <si>
    <t>0630</t>
  </si>
  <si>
    <t>Maint of bldg/grds/equipm</t>
  </si>
  <si>
    <t xml:space="preserve">Teacher </t>
  </si>
  <si>
    <t>Teaching Assistant</t>
  </si>
  <si>
    <t>School admin</t>
  </si>
  <si>
    <t>ESSER 3 (ends after FY24)</t>
  </si>
  <si>
    <t>ICSB fee not calculating in current year</t>
  </si>
  <si>
    <t>Principal</t>
  </si>
  <si>
    <t>OE-other grants</t>
  </si>
  <si>
    <t>office supplies</t>
  </si>
  <si>
    <t xml:space="preserve">Promise Prep </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</si>
</sst>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_(&quot;$&quot;* #,##0.0_);_(&quot;$&quot;* \(#,##0.0\);_(&quot;$&quot;* &quot;-&quot;??_);_(@_)"/>
    <numFmt numFmtId="167" formatCode="0.0"/>
    <numFmt numFmtId="168" formatCode="0.0%"/>
    <numFmt numFmtId="169" formatCode="_(&quot;$&quot;* #,##0.000_);_(&quot;$&quot;* \(#,##0.000\);_(&quot;$&quot;* &quot;-&quot;???_);_(@_)"/>
    <numFmt numFmtId="170" formatCode="[$-409]dddd\,\ mmmm\ dd\,\ yyyy"/>
    <numFmt numFmtId="171" formatCode="&quot;Yes&quot;;&quot;Yes&quot;;&quot;No&quot;"/>
    <numFmt numFmtId="172" formatCode="&quot;True&quot;;&quot;True&quot;;&quot;False&quot;"/>
    <numFmt numFmtId="173" formatCode="&quot;On&quot;;&quot;On&quot;;&quot;Off&quot;"/>
    <numFmt numFmtId="174" formatCode="[$€-2]\ #,##0.00_);[Red]\([$€-2]\ #,##0.00\)"/>
    <numFmt numFmtId="175" formatCode="_(&quot;$&quot;* #,##0.0000_);_(&quot;$&quot;* \(#,##0.0000\);_(&quot;$&quot;* &quot;-&quot;????_);_(@_)"/>
    <numFmt numFmtId="176" formatCode="0.0000"/>
    <numFmt numFmtId="177" formatCode="###0.0000;###0.0000"/>
    <numFmt numFmtId="178" formatCode="&quot;$&quot;#,##0.00"/>
  </numFmts>
  <fonts count="85">
    <font>
      <sz val="11"/>
      <color theme="1"/>
      <name val="Calibri"/>
      <family val="2"/>
    </font>
    <font>
      <sz val="11"/>
      <color indexed="8"/>
      <name val="Calibri"/>
      <family val="2"/>
    </font>
    <font>
      <sz val="10"/>
      <name val="Arial"/>
      <family val="2"/>
    </font>
    <font>
      <b/>
      <sz val="14"/>
      <name val="Calibri"/>
      <family val="2"/>
    </font>
    <font>
      <sz val="10"/>
      <name val="Verdana"/>
      <family val="2"/>
    </font>
    <font>
      <sz val="10"/>
      <color indexed="8"/>
      <name val="Calibri"/>
      <family val="2"/>
    </font>
    <font>
      <sz val="11"/>
      <name val="Calibri"/>
      <family val="2"/>
    </font>
    <font>
      <b/>
      <sz val="11"/>
      <name val="Calibri"/>
      <family val="2"/>
    </font>
    <font>
      <b/>
      <i/>
      <sz val="11"/>
      <name val="Calibri"/>
      <family val="2"/>
    </font>
    <font>
      <b/>
      <u val="single"/>
      <sz val="11"/>
      <name val="Calibri"/>
      <family val="2"/>
    </font>
    <font>
      <b/>
      <sz val="11"/>
      <color indexed="8"/>
      <name val="Calibri"/>
      <family val="2"/>
    </font>
    <font>
      <u val="single"/>
      <sz val="11"/>
      <name val="Calibri"/>
      <family val="2"/>
    </font>
    <font>
      <u val="single"/>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1"/>
      <color indexed="36"/>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39"/>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indexed="10"/>
      <name val="Calibri"/>
      <family val="2"/>
    </font>
    <font>
      <b/>
      <sz val="10"/>
      <color indexed="9"/>
      <name val="Calibri"/>
      <family val="2"/>
    </font>
    <font>
      <b/>
      <sz val="10"/>
      <color indexed="8"/>
      <name val="Calibri"/>
      <family val="2"/>
    </font>
    <font>
      <b/>
      <sz val="14"/>
      <color indexed="8"/>
      <name val="Calibri"/>
      <family val="2"/>
    </font>
    <font>
      <u val="single"/>
      <sz val="11"/>
      <color indexed="39"/>
      <name val="Calibri"/>
      <family val="2"/>
    </font>
    <font>
      <i/>
      <sz val="11"/>
      <name val="Calibri"/>
      <family val="2"/>
    </font>
    <font>
      <sz val="11"/>
      <color indexed="30"/>
      <name val="Calibri"/>
      <family val="2"/>
    </font>
    <font>
      <u val="singleAccounting"/>
      <sz val="10"/>
      <color indexed="8"/>
      <name val="Calibri"/>
      <family val="2"/>
    </font>
    <font>
      <sz val="11"/>
      <color indexed="49"/>
      <name val="Calibri"/>
      <family val="2"/>
    </font>
    <font>
      <b/>
      <u val="single"/>
      <sz val="11"/>
      <color indexed="8"/>
      <name val="Calibri"/>
      <family val="2"/>
    </font>
    <font>
      <b/>
      <sz val="11"/>
      <color indexed="10"/>
      <name val="Calibri"/>
      <family val="2"/>
    </font>
    <font>
      <i/>
      <sz val="11"/>
      <color indexed="8"/>
      <name val="Calibri"/>
      <family val="2"/>
    </font>
    <font>
      <b/>
      <i/>
      <sz val="11"/>
      <color indexed="10"/>
      <name val="Calibri"/>
      <family val="2"/>
    </font>
    <font>
      <sz val="14"/>
      <color indexed="8"/>
      <name val="Calibri"/>
      <family val="2"/>
    </font>
    <font>
      <b/>
      <sz val="10"/>
      <name val="Calibri"/>
      <family val="2"/>
    </font>
    <font>
      <b/>
      <u val="single"/>
      <sz val="10"/>
      <color indexed="8"/>
      <name val="Calibri"/>
      <family val="2"/>
    </font>
    <font>
      <sz val="10"/>
      <name val="Calibri"/>
      <family val="2"/>
    </font>
    <font>
      <b/>
      <sz val="12"/>
      <color indexed="8"/>
      <name val="Calibri"/>
      <family val="2"/>
    </font>
    <font>
      <sz val="12"/>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10"/>
      <color theme="0"/>
      <name val="Calibri"/>
      <family val="2"/>
    </font>
    <font>
      <b/>
      <sz val="10"/>
      <color theme="1"/>
      <name val="Calibri"/>
      <family val="2"/>
    </font>
    <font>
      <b/>
      <sz val="14"/>
      <color theme="1"/>
      <name val="Calibri"/>
      <family val="2"/>
    </font>
    <font>
      <u val="single"/>
      <sz val="11"/>
      <color theme="10"/>
      <name val="Calibri"/>
      <family val="2"/>
    </font>
    <font>
      <sz val="11"/>
      <color rgb="FF0070C0"/>
      <name val="Calibri"/>
      <family val="2"/>
    </font>
    <font>
      <u val="singleAccounting"/>
      <sz val="10"/>
      <color theme="1"/>
      <name val="Calibri"/>
      <family val="2"/>
    </font>
    <font>
      <sz val="11"/>
      <color theme="3" tint="0.39998000860214233"/>
      <name val="Calibri"/>
      <family val="2"/>
    </font>
    <font>
      <b/>
      <u val="single"/>
      <sz val="11"/>
      <color theme="1"/>
      <name val="Calibri"/>
      <family val="2"/>
    </font>
    <font>
      <b/>
      <sz val="11"/>
      <color rgb="FFFF0000"/>
      <name val="Calibri"/>
      <family val="2"/>
    </font>
    <font>
      <i/>
      <sz val="11"/>
      <color theme="1"/>
      <name val="Calibri"/>
      <family val="2"/>
    </font>
    <font>
      <b/>
      <i/>
      <sz val="11"/>
      <color rgb="FFFF0000"/>
      <name val="Calibri"/>
      <family val="2"/>
    </font>
    <font>
      <u val="single"/>
      <sz val="11"/>
      <color theme="1"/>
      <name val="Calibri"/>
      <family val="2"/>
    </font>
    <font>
      <sz val="14"/>
      <color theme="1"/>
      <name val="Calibri"/>
      <family val="2"/>
    </font>
    <font>
      <b/>
      <u val="single"/>
      <sz val="10"/>
      <color theme="1"/>
      <name val="Calibri"/>
      <family val="2"/>
    </font>
    <font>
      <sz val="10"/>
      <color rgb="FF000000"/>
      <name val="Calibri"/>
      <family val="2"/>
    </font>
    <font>
      <b/>
      <sz val="12"/>
      <color theme="1"/>
      <name val="Calibri"/>
      <family val="2"/>
    </font>
    <font>
      <sz val="12"/>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4" tint="0.5999900102615356"/>
        <bgColor indexed="64"/>
      </patternFill>
    </fill>
    <fill>
      <patternFill patternType="solid">
        <fgColor theme="4"/>
        <bgColor indexed="64"/>
      </patternFill>
    </fill>
    <fill>
      <patternFill patternType="solid">
        <fgColor theme="0" tint="-0.1499900072813034"/>
        <bgColor indexed="64"/>
      </patternFill>
    </fill>
    <fill>
      <patternFill patternType="solid">
        <fgColor indexed="63"/>
        <bgColor indexed="64"/>
      </patternFill>
    </fill>
    <fill>
      <patternFill patternType="solid">
        <fgColor theme="0" tint="-0.24997000396251678"/>
        <bgColor indexed="64"/>
      </patternFill>
    </fill>
    <fill>
      <patternFill patternType="solid">
        <fgColor indexed="9"/>
        <bgColor indexed="64"/>
      </patternFill>
    </fill>
    <fill>
      <patternFill patternType="solid">
        <fgColor theme="1"/>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color theme="0"/>
      </left>
      <right/>
      <top style="thin">
        <color theme="0"/>
      </top>
      <bottom/>
    </border>
    <border>
      <left/>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right style="thin"/>
      <top/>
      <bottom style="thin"/>
    </border>
    <border>
      <left style="thin">
        <color theme="0"/>
      </left>
      <right/>
      <top/>
      <bottom/>
    </border>
    <border>
      <left style="thin"/>
      <right style="thin"/>
      <top>
        <color indexed="63"/>
      </top>
      <bottom>
        <color indexed="63"/>
      </bottom>
    </border>
    <border>
      <left/>
      <right/>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style="thin"/>
      <top style="thin"/>
      <bottom style="thin"/>
    </border>
    <border>
      <left style="medium"/>
      <right/>
      <top/>
      <bottom style="medium"/>
    </border>
    <border>
      <left/>
      <right/>
      <top/>
      <bottom style="medium"/>
    </border>
    <border>
      <left/>
      <right style="medium"/>
      <top/>
      <bottom style="medium"/>
    </border>
    <border>
      <left style="thin"/>
      <right>
        <color indexed="63"/>
      </right>
      <top style="thin"/>
      <bottom>
        <color indexed="63"/>
      </bottom>
    </border>
    <border>
      <left style="thin"/>
      <right>
        <color indexed="63"/>
      </right>
      <top>
        <color indexed="63"/>
      </top>
      <bottom>
        <color indexed="63"/>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style="thin"/>
      <right style="thin"/>
      <top style="thin"/>
      <bottom/>
    </border>
    <border>
      <left>
        <color indexed="63"/>
      </left>
      <right>
        <color indexed="63"/>
      </right>
      <top style="thin"/>
      <bottom style="medium"/>
    </border>
    <border>
      <left style="medium"/>
      <right>
        <color indexed="63"/>
      </right>
      <top style="thin">
        <color theme="0" tint="-0.24993999302387238"/>
      </top>
      <bottom style="thin">
        <color theme="0" tint="-0.24993999302387238"/>
      </bottom>
    </border>
    <border>
      <left/>
      <right style="medium"/>
      <top style="thin">
        <color theme="0" tint="-0.24993999302387238"/>
      </top>
      <bottom style="thin">
        <color theme="0" tint="-0.24993999302387238"/>
      </bottom>
    </border>
    <border>
      <left style="medium"/>
      <right>
        <color indexed="63"/>
      </right>
      <top style="thin">
        <color theme="0" tint="-0.24993999302387238"/>
      </top>
      <bottom>
        <color indexed="63"/>
      </bottom>
    </border>
    <border>
      <left/>
      <right style="medium"/>
      <top style="thin">
        <color theme="0" tint="-0.24993999302387238"/>
      </top>
      <bottom>
        <color indexed="63"/>
      </bottom>
    </border>
    <border>
      <left style="medium"/>
      <right>
        <color indexed="63"/>
      </right>
      <top>
        <color indexed="63"/>
      </top>
      <bottom style="thin">
        <color theme="0" tint="-0.24993999302387238"/>
      </bottom>
    </border>
    <border>
      <left/>
      <right style="medium"/>
      <top>
        <color indexed="63"/>
      </top>
      <bottom style="thin">
        <color theme="0" tint="-0.24993999302387238"/>
      </bottom>
    </border>
    <border>
      <left>
        <color indexed="63"/>
      </left>
      <right style="thin">
        <color theme="0"/>
      </right>
      <top style="thin">
        <color theme="0"/>
      </top>
      <bottom style="thin">
        <color theme="0"/>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thin">
        <color theme="0" tint="-0.24993999302387238"/>
      </top>
      <bottom style="thin">
        <color theme="0" tint="-0.24993999302387238"/>
      </bottom>
    </border>
    <border>
      <left style="thin"/>
      <right style="medium"/>
      <top style="thin">
        <color theme="0" tint="-0.24993999302387238"/>
      </top>
      <bottom style="thin">
        <color theme="0" tint="-0.24993999302387238"/>
      </bottom>
    </border>
    <border>
      <left style="medium"/>
      <right>
        <color indexed="63"/>
      </right>
      <top style="thin"/>
      <bottom style="thin">
        <color theme="0" tint="-0.24993999302387238"/>
      </bottom>
    </border>
    <border>
      <left>
        <color indexed="63"/>
      </left>
      <right style="medium"/>
      <top style="thin"/>
      <bottom style="thin">
        <color theme="0" tint="-0.24993999302387238"/>
      </bottom>
    </border>
    <border>
      <left style="medium"/>
      <right>
        <color indexed="63"/>
      </right>
      <top style="thin">
        <color theme="0" tint="-0.24993999302387238"/>
      </top>
      <bottom style="thin"/>
    </border>
    <border>
      <left>
        <color indexed="63"/>
      </left>
      <right style="medium"/>
      <top style="thin">
        <color theme="0" tint="-0.24993999302387238"/>
      </top>
      <bottom style="thin"/>
    </border>
    <border>
      <left style="medium"/>
      <right style="thin"/>
      <top style="medium"/>
      <bottom/>
    </border>
    <border>
      <left style="thin"/>
      <right style="medium"/>
      <top style="medium"/>
      <bottom/>
    </border>
    <border>
      <left style="medium"/>
      <right style="thin"/>
      <top/>
      <bottom style="thin"/>
    </border>
    <border>
      <left style="thin"/>
      <right style="medium"/>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2" fillId="0" borderId="0">
      <alignment/>
      <protection/>
    </xf>
    <xf numFmtId="0" fontId="2" fillId="0" borderId="0">
      <alignment/>
      <protection/>
    </xf>
    <xf numFmtId="0" fontId="4"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573">
    <xf numFmtId="0" fontId="0" fillId="0" borderId="0" xfId="0" applyFont="1" applyAlignment="1">
      <alignment/>
    </xf>
    <xf numFmtId="0" fontId="6" fillId="33" borderId="0" xfId="0" applyFont="1" applyFill="1" applyBorder="1" applyAlignment="1" applyProtection="1">
      <alignment horizontal="center" vertical="center"/>
      <protection/>
    </xf>
    <xf numFmtId="0" fontId="65" fillId="33" borderId="10" xfId="0" applyFont="1" applyFill="1" applyBorder="1" applyAlignment="1" applyProtection="1">
      <alignment horizontal="right" vertical="center"/>
      <protection/>
    </xf>
    <xf numFmtId="0" fontId="67" fillId="34" borderId="11" xfId="0" applyFont="1" applyFill="1" applyBorder="1" applyAlignment="1">
      <alignment horizontal="center" vertical="center"/>
    </xf>
    <xf numFmtId="0" fontId="67" fillId="0" borderId="0" xfId="0" applyFont="1" applyAlignment="1">
      <alignment vertical="center"/>
    </xf>
    <xf numFmtId="0" fontId="67" fillId="34" borderId="11" xfId="0" applyFont="1" applyFill="1" applyBorder="1" applyAlignment="1">
      <alignment vertical="center"/>
    </xf>
    <xf numFmtId="0" fontId="67" fillId="33" borderId="12" xfId="0" applyFont="1" applyFill="1" applyBorder="1" applyAlignment="1">
      <alignment horizontal="center" vertical="center"/>
    </xf>
    <xf numFmtId="0" fontId="67" fillId="33" borderId="12" xfId="0" applyFont="1" applyFill="1" applyBorder="1" applyAlignment="1">
      <alignment/>
    </xf>
    <xf numFmtId="0" fontId="67" fillId="33" borderId="13" xfId="0" applyFont="1" applyFill="1" applyBorder="1" applyAlignment="1">
      <alignment/>
    </xf>
    <xf numFmtId="0" fontId="67" fillId="33" borderId="14" xfId="0" applyFont="1" applyFill="1" applyBorder="1" applyAlignment="1">
      <alignment/>
    </xf>
    <xf numFmtId="0" fontId="67" fillId="33" borderId="10" xfId="0" applyFont="1" applyFill="1" applyBorder="1" applyAlignment="1">
      <alignment horizontal="center" vertical="center"/>
    </xf>
    <xf numFmtId="0" fontId="67" fillId="33" borderId="10" xfId="0" applyFont="1" applyFill="1" applyBorder="1" applyAlignment="1">
      <alignment/>
    </xf>
    <xf numFmtId="0" fontId="67" fillId="33" borderId="15" xfId="0" applyFont="1" applyFill="1" applyBorder="1" applyAlignment="1">
      <alignment/>
    </xf>
    <xf numFmtId="0" fontId="68" fillId="35" borderId="16" xfId="0" applyFont="1" applyFill="1" applyBorder="1" applyAlignment="1">
      <alignment horizontal="center" vertical="center" wrapText="1"/>
    </xf>
    <xf numFmtId="0" fontId="69" fillId="0" borderId="0" xfId="0" applyFont="1" applyAlignment="1">
      <alignment vertical="center"/>
    </xf>
    <xf numFmtId="0" fontId="70" fillId="0" borderId="0" xfId="0" applyFont="1" applyAlignment="1">
      <alignment horizontal="center" vertical="center"/>
    </xf>
    <xf numFmtId="0" fontId="0" fillId="0" borderId="0" xfId="0" applyAlignment="1">
      <alignment vertical="center"/>
    </xf>
    <xf numFmtId="44" fontId="67" fillId="0" borderId="0" xfId="0" applyNumberFormat="1" applyFont="1" applyAlignment="1">
      <alignment vertical="center"/>
    </xf>
    <xf numFmtId="176" fontId="67" fillId="0" borderId="0" xfId="0" applyNumberFormat="1" applyFont="1" applyAlignment="1">
      <alignment vertical="center"/>
    </xf>
    <xf numFmtId="44" fontId="67" fillId="33" borderId="17" xfId="0" applyNumberFormat="1" applyFont="1" applyFill="1" applyBorder="1" applyAlignment="1">
      <alignment vertical="center"/>
    </xf>
    <xf numFmtId="0" fontId="67" fillId="33" borderId="17" xfId="0" applyFont="1" applyFill="1" applyBorder="1" applyAlignment="1">
      <alignment horizontal="left" vertical="center"/>
    </xf>
    <xf numFmtId="0" fontId="65" fillId="33" borderId="12" xfId="0" applyFont="1" applyFill="1" applyBorder="1" applyAlignment="1" applyProtection="1">
      <alignment horizontal="center" vertical="center"/>
      <protection/>
    </xf>
    <xf numFmtId="0" fontId="0" fillId="33" borderId="18" xfId="0" applyFont="1" applyFill="1" applyBorder="1" applyAlignment="1" applyProtection="1">
      <alignment vertical="center"/>
      <protection/>
    </xf>
    <xf numFmtId="0" fontId="0" fillId="33" borderId="12" xfId="0" applyFont="1" applyFill="1" applyBorder="1" applyAlignment="1" applyProtection="1">
      <alignment vertical="center"/>
      <protection/>
    </xf>
    <xf numFmtId="0" fontId="65" fillId="33" borderId="14" xfId="0" applyFont="1" applyFill="1" applyBorder="1" applyAlignment="1" applyProtection="1">
      <alignment horizontal="right" vertical="center"/>
      <protection/>
    </xf>
    <xf numFmtId="0" fontId="0" fillId="33" borderId="0" xfId="0" applyFont="1" applyFill="1" applyBorder="1" applyAlignment="1" applyProtection="1">
      <alignment vertical="center"/>
      <protection/>
    </xf>
    <xf numFmtId="0" fontId="65" fillId="33" borderId="0" xfId="0" applyFont="1" applyFill="1" applyBorder="1" applyAlignment="1" applyProtection="1">
      <alignment horizontal="right" vertical="center"/>
      <protection/>
    </xf>
    <xf numFmtId="0" fontId="0" fillId="33" borderId="10" xfId="0" applyFont="1" applyFill="1" applyBorder="1" applyAlignment="1" applyProtection="1">
      <alignment vertical="center"/>
      <protection/>
    </xf>
    <xf numFmtId="0" fontId="6" fillId="0" borderId="0" xfId="59" applyFont="1" applyFill="1" applyProtection="1">
      <alignment/>
      <protection/>
    </xf>
    <xf numFmtId="0" fontId="0" fillId="0" borderId="0" xfId="0" applyFont="1" applyFill="1" applyAlignment="1" applyProtection="1">
      <alignment/>
      <protection/>
    </xf>
    <xf numFmtId="0" fontId="65" fillId="0" borderId="0" xfId="0" applyFont="1" applyFill="1" applyBorder="1" applyAlignment="1" applyProtection="1">
      <alignment/>
      <protection/>
    </xf>
    <xf numFmtId="0" fontId="0" fillId="0" borderId="0" xfId="0" applyFont="1" applyFill="1" applyBorder="1" applyAlignment="1" applyProtection="1">
      <alignment/>
      <protection/>
    </xf>
    <xf numFmtId="0" fontId="6" fillId="33" borderId="19" xfId="59" applyFont="1" applyFill="1" applyBorder="1" applyProtection="1">
      <alignment/>
      <protection/>
    </xf>
    <xf numFmtId="0" fontId="6" fillId="33" borderId="20" xfId="59" applyFont="1" applyFill="1" applyBorder="1" applyProtection="1">
      <alignment/>
      <protection/>
    </xf>
    <xf numFmtId="0" fontId="6" fillId="33" borderId="21" xfId="59" applyFont="1" applyFill="1" applyBorder="1" applyProtection="1">
      <alignment/>
      <protection/>
    </xf>
    <xf numFmtId="0" fontId="6" fillId="33" borderId="22" xfId="59" applyFont="1" applyFill="1" applyBorder="1" applyProtection="1">
      <alignment/>
      <protection/>
    </xf>
    <xf numFmtId="0" fontId="6" fillId="33" borderId="23" xfId="59" applyFont="1" applyFill="1" applyBorder="1" applyProtection="1">
      <alignment/>
      <protection/>
    </xf>
    <xf numFmtId="0" fontId="6" fillId="36" borderId="24" xfId="59" applyFont="1" applyFill="1" applyBorder="1" applyProtection="1">
      <alignment/>
      <protection/>
    </xf>
    <xf numFmtId="0" fontId="6" fillId="33" borderId="0" xfId="59" applyFont="1" applyFill="1" applyBorder="1" applyAlignment="1" applyProtection="1" quotePrefix="1">
      <alignment vertical="center"/>
      <protection/>
    </xf>
    <xf numFmtId="0" fontId="6" fillId="33" borderId="0" xfId="59" applyFont="1" applyFill="1" applyBorder="1" applyAlignment="1" applyProtection="1">
      <alignment wrapText="1"/>
      <protection/>
    </xf>
    <xf numFmtId="0" fontId="6" fillId="33" borderId="0" xfId="59" applyFont="1" applyFill="1" applyBorder="1" applyAlignment="1" applyProtection="1">
      <alignment horizontal="center"/>
      <protection/>
    </xf>
    <xf numFmtId="0" fontId="6" fillId="33" borderId="0" xfId="59" applyFont="1" applyFill="1" applyBorder="1" applyProtection="1">
      <alignment/>
      <protection/>
    </xf>
    <xf numFmtId="0" fontId="6" fillId="0" borderId="0" xfId="0" applyFont="1" applyFill="1" applyBorder="1" applyAlignment="1" applyProtection="1">
      <alignment horizontal="left"/>
      <protection/>
    </xf>
    <xf numFmtId="0" fontId="6" fillId="36" borderId="10" xfId="59" applyNumberFormat="1" applyFont="1" applyFill="1" applyBorder="1" applyAlignment="1" applyProtection="1">
      <alignment horizontal="left" vertical="center"/>
      <protection locked="0"/>
    </xf>
    <xf numFmtId="0" fontId="7" fillId="33" borderId="0" xfId="59" applyFont="1" applyFill="1" applyBorder="1" applyAlignment="1" applyProtection="1" quotePrefix="1">
      <alignment horizontal="left"/>
      <protection/>
    </xf>
    <xf numFmtId="0" fontId="6" fillId="33" borderId="0" xfId="59" applyFont="1" applyFill="1" applyProtection="1">
      <alignment/>
      <protection/>
    </xf>
    <xf numFmtId="0" fontId="6" fillId="33" borderId="10" xfId="59" applyFont="1" applyFill="1" applyBorder="1" applyProtection="1">
      <alignment/>
      <protection/>
    </xf>
    <xf numFmtId="0" fontId="6" fillId="33" borderId="0" xfId="59" applyFont="1" applyFill="1" applyBorder="1" applyAlignment="1" applyProtection="1" quotePrefix="1">
      <alignment horizontal="left"/>
      <protection/>
    </xf>
    <xf numFmtId="0" fontId="71" fillId="33" borderId="24" xfId="54" applyFont="1" applyFill="1" applyBorder="1" applyAlignment="1" applyProtection="1">
      <alignment horizontal="left" vertical="top"/>
      <protection locked="0"/>
    </xf>
    <xf numFmtId="0" fontId="6" fillId="33" borderId="24" xfId="59" applyFont="1" applyFill="1" applyBorder="1" applyAlignment="1" applyProtection="1">
      <alignment horizontal="left" vertical="center" wrapText="1" indent="1"/>
      <protection/>
    </xf>
    <xf numFmtId="0" fontId="6" fillId="0" borderId="0" xfId="59" applyFont="1" applyFill="1" applyAlignment="1" applyProtection="1">
      <alignment vertical="center"/>
      <protection/>
    </xf>
    <xf numFmtId="0" fontId="6" fillId="33" borderId="22" xfId="59" applyFont="1" applyFill="1" applyBorder="1" applyAlignment="1" applyProtection="1">
      <alignment vertical="center"/>
      <protection/>
    </xf>
    <xf numFmtId="0" fontId="6" fillId="33" borderId="0" xfId="59" applyFont="1" applyFill="1" applyBorder="1" applyAlignment="1" applyProtection="1" quotePrefix="1">
      <alignment horizontal="left" vertical="center"/>
      <protection/>
    </xf>
    <xf numFmtId="0" fontId="71" fillId="33" borderId="24" xfId="54" applyFont="1" applyFill="1" applyBorder="1" applyAlignment="1" applyProtection="1">
      <alignment vertical="center"/>
      <protection locked="0"/>
    </xf>
    <xf numFmtId="0" fontId="6" fillId="33" borderId="23" xfId="59" applyFont="1" applyFill="1" applyBorder="1" applyAlignment="1" applyProtection="1">
      <alignment vertical="center"/>
      <protection/>
    </xf>
    <xf numFmtId="0" fontId="0" fillId="0" borderId="0" xfId="0" applyFont="1" applyFill="1" applyAlignment="1" applyProtection="1">
      <alignment vertical="center"/>
      <protection/>
    </xf>
    <xf numFmtId="0" fontId="6" fillId="0" borderId="0" xfId="0" applyFont="1" applyFill="1" applyBorder="1" applyAlignment="1" applyProtection="1">
      <alignment horizontal="left" vertical="center"/>
      <protection/>
    </xf>
    <xf numFmtId="0" fontId="0" fillId="0" borderId="0" xfId="0" applyFont="1" applyFill="1" applyBorder="1" applyAlignment="1" applyProtection="1">
      <alignment vertical="center"/>
      <protection/>
    </xf>
    <xf numFmtId="0" fontId="6" fillId="33" borderId="0" xfId="59" applyFont="1" applyFill="1" applyBorder="1" applyAlignment="1" applyProtection="1">
      <alignment vertical="center"/>
      <protection/>
    </xf>
    <xf numFmtId="0" fontId="71" fillId="33" borderId="24" xfId="54" applyFont="1" applyFill="1" applyBorder="1" applyAlignment="1" applyProtection="1">
      <alignment vertical="top"/>
      <protection locked="0"/>
    </xf>
    <xf numFmtId="0" fontId="6" fillId="33" borderId="24" xfId="59" applyFont="1" applyFill="1" applyBorder="1" applyAlignment="1" applyProtection="1">
      <alignment vertical="top"/>
      <protection/>
    </xf>
    <xf numFmtId="0" fontId="71" fillId="33" borderId="0" xfId="54" applyFont="1" applyFill="1" applyAlignment="1" applyProtection="1">
      <alignment/>
      <protection/>
    </xf>
    <xf numFmtId="0" fontId="6" fillId="33" borderId="0" xfId="59" applyFont="1" applyFill="1" applyBorder="1" applyAlignment="1" applyProtection="1" quotePrefix="1">
      <alignment horizontal="left" vertical="top" wrapText="1"/>
      <protection/>
    </xf>
    <xf numFmtId="0" fontId="6" fillId="33" borderId="25" xfId="59" applyFont="1" applyFill="1" applyBorder="1" applyProtection="1">
      <alignment/>
      <protection/>
    </xf>
    <xf numFmtId="0" fontId="6" fillId="33" borderId="26" xfId="59" applyFont="1" applyFill="1" applyBorder="1" applyAlignment="1" applyProtection="1">
      <alignment wrapText="1"/>
      <protection/>
    </xf>
    <xf numFmtId="0" fontId="6" fillId="33" borderId="26" xfId="59" applyFont="1" applyFill="1" applyBorder="1" applyProtection="1">
      <alignment/>
      <protection/>
    </xf>
    <xf numFmtId="0" fontId="6" fillId="33" borderId="27" xfId="59" applyFont="1" applyFill="1" applyBorder="1" applyAlignment="1" applyProtection="1">
      <alignment horizontal="right"/>
      <protection/>
    </xf>
    <xf numFmtId="0" fontId="6" fillId="0" borderId="0" xfId="59" applyFont="1" applyFill="1" applyBorder="1" applyAlignment="1" applyProtection="1">
      <alignment/>
      <protection/>
    </xf>
    <xf numFmtId="0" fontId="6" fillId="0" borderId="0" xfId="59" applyFont="1" applyFill="1" applyBorder="1" applyProtection="1">
      <alignment/>
      <protection/>
    </xf>
    <xf numFmtId="0" fontId="0" fillId="0" borderId="0" xfId="0" applyFont="1" applyFill="1" applyBorder="1" applyAlignment="1" applyProtection="1">
      <alignment horizontal="center" vertical="center"/>
      <protection/>
    </xf>
    <xf numFmtId="0" fontId="0" fillId="33" borderId="19" xfId="0" applyFont="1" applyFill="1" applyBorder="1" applyAlignment="1" applyProtection="1">
      <alignment/>
      <protection/>
    </xf>
    <xf numFmtId="0" fontId="0" fillId="33" borderId="20" xfId="0" applyFont="1" applyFill="1" applyBorder="1" applyAlignment="1" applyProtection="1">
      <alignment/>
      <protection/>
    </xf>
    <xf numFmtId="0" fontId="0" fillId="33" borderId="21" xfId="0" applyFont="1" applyFill="1" applyBorder="1" applyAlignment="1" applyProtection="1">
      <alignment/>
      <protection/>
    </xf>
    <xf numFmtId="0" fontId="0" fillId="33" borderId="22" xfId="0" applyFont="1" applyFill="1" applyBorder="1" applyAlignment="1" applyProtection="1">
      <alignment/>
      <protection/>
    </xf>
    <xf numFmtId="0" fontId="0" fillId="33" borderId="0" xfId="0" applyFont="1" applyFill="1" applyBorder="1" applyAlignment="1" applyProtection="1">
      <alignment/>
      <protection/>
    </xf>
    <xf numFmtId="0" fontId="0" fillId="33" borderId="23" xfId="0" applyFont="1" applyFill="1" applyBorder="1" applyAlignment="1" applyProtection="1">
      <alignment/>
      <protection/>
    </xf>
    <xf numFmtId="0" fontId="65" fillId="33" borderId="0" xfId="0" applyFont="1" applyFill="1" applyBorder="1" applyAlignment="1" applyProtection="1">
      <alignment vertical="center"/>
      <protection/>
    </xf>
    <xf numFmtId="49" fontId="0" fillId="33" borderId="0" xfId="44" applyNumberFormat="1" applyFont="1" applyFill="1" applyBorder="1" applyAlignment="1" applyProtection="1">
      <alignment vertical="center"/>
      <protection/>
    </xf>
    <xf numFmtId="0" fontId="65" fillId="33" borderId="0" xfId="44" applyNumberFormat="1" applyFont="1" applyFill="1" applyBorder="1" applyAlignment="1" applyProtection="1" quotePrefix="1">
      <alignment vertical="center"/>
      <protection/>
    </xf>
    <xf numFmtId="0" fontId="0" fillId="33" borderId="0" xfId="0" applyFont="1" applyFill="1" applyBorder="1" applyAlignment="1" applyProtection="1">
      <alignment vertical="center"/>
      <protection/>
    </xf>
    <xf numFmtId="0" fontId="0" fillId="33" borderId="0" xfId="0" applyFont="1" applyFill="1" applyBorder="1" applyAlignment="1" applyProtection="1">
      <alignment vertical="center" wrapText="1"/>
      <protection/>
    </xf>
    <xf numFmtId="165" fontId="0" fillId="33" borderId="0" xfId="44" applyNumberFormat="1" applyFont="1" applyFill="1" applyBorder="1" applyAlignment="1" applyProtection="1">
      <alignment vertical="center"/>
      <protection/>
    </xf>
    <xf numFmtId="0" fontId="65" fillId="33" borderId="0" xfId="44" applyNumberFormat="1" applyFont="1" applyFill="1" applyBorder="1" applyAlignment="1" applyProtection="1" quotePrefix="1">
      <alignment horizontal="left" vertical="center"/>
      <protection/>
    </xf>
    <xf numFmtId="0" fontId="0" fillId="33" borderId="28" xfId="0" applyFont="1" applyFill="1" applyBorder="1" applyAlignment="1" applyProtection="1">
      <alignment/>
      <protection/>
    </xf>
    <xf numFmtId="0" fontId="7" fillId="33" borderId="12" xfId="59" applyFont="1" applyFill="1" applyBorder="1" applyAlignment="1" applyProtection="1">
      <alignment horizontal="center" vertical="center"/>
      <protection/>
    </xf>
    <xf numFmtId="0" fontId="7" fillId="33" borderId="18" xfId="59" applyFont="1" applyFill="1" applyBorder="1" applyAlignment="1" applyProtection="1">
      <alignment horizontal="center" vertical="center"/>
      <protection/>
    </xf>
    <xf numFmtId="0" fontId="7" fillId="33" borderId="13" xfId="59" applyFont="1" applyFill="1" applyBorder="1" applyAlignment="1" applyProtection="1">
      <alignment horizontal="center" vertical="center"/>
      <protection/>
    </xf>
    <xf numFmtId="0" fontId="0" fillId="33" borderId="29" xfId="0" applyFont="1" applyFill="1" applyBorder="1" applyAlignment="1" applyProtection="1">
      <alignment/>
      <protection/>
    </xf>
    <xf numFmtId="0" fontId="7" fillId="33" borderId="0" xfId="59" applyFont="1" applyFill="1" applyBorder="1" applyAlignment="1" applyProtection="1">
      <alignment horizontal="center" vertical="center"/>
      <protection/>
    </xf>
    <xf numFmtId="0" fontId="7" fillId="33" borderId="14" xfId="59" applyFont="1" applyFill="1" applyBorder="1" applyAlignment="1" applyProtection="1">
      <alignment horizontal="center" vertical="center"/>
      <protection/>
    </xf>
    <xf numFmtId="0" fontId="6" fillId="33" borderId="14" xfId="59" applyFont="1" applyFill="1" applyBorder="1" applyAlignment="1" applyProtection="1">
      <alignment horizontal="center" vertical="center"/>
      <protection/>
    </xf>
    <xf numFmtId="0" fontId="6" fillId="36" borderId="24" xfId="59" applyFont="1" applyFill="1" applyBorder="1" applyAlignment="1" applyProtection="1">
      <alignment horizontal="center" vertical="center"/>
      <protection locked="0"/>
    </xf>
    <xf numFmtId="0" fontId="7" fillId="33" borderId="0" xfId="59" applyFont="1" applyFill="1" applyBorder="1" applyAlignment="1" applyProtection="1">
      <alignment horizontal="left" vertical="center"/>
      <protection/>
    </xf>
    <xf numFmtId="1" fontId="6" fillId="33" borderId="0" xfId="59" applyNumberFormat="1" applyFont="1" applyFill="1" applyBorder="1" applyAlignment="1" applyProtection="1">
      <alignment horizontal="center" vertical="center"/>
      <protection/>
    </xf>
    <xf numFmtId="1" fontId="6" fillId="33" borderId="14" xfId="59" applyNumberFormat="1" applyFont="1" applyFill="1" applyBorder="1" applyAlignment="1" applyProtection="1">
      <alignment horizontal="center" vertical="center"/>
      <protection/>
    </xf>
    <xf numFmtId="165" fontId="7" fillId="0" borderId="0" xfId="44" applyNumberFormat="1" applyFont="1" applyFill="1" applyBorder="1" applyAlignment="1" applyProtection="1">
      <alignment horizontal="right" vertical="center"/>
      <protection/>
    </xf>
    <xf numFmtId="44" fontId="0" fillId="0" borderId="24" xfId="0" applyNumberFormat="1" applyFont="1" applyFill="1" applyBorder="1" applyAlignment="1" applyProtection="1">
      <alignment/>
      <protection/>
    </xf>
    <xf numFmtId="44" fontId="0" fillId="0" borderId="0" xfId="0" applyNumberFormat="1" applyFont="1" applyFill="1" applyAlignment="1" applyProtection="1">
      <alignment/>
      <protection/>
    </xf>
    <xf numFmtId="0" fontId="6" fillId="33" borderId="15" xfId="59" applyFont="1" applyFill="1" applyBorder="1" applyProtection="1">
      <alignment/>
      <protection/>
    </xf>
    <xf numFmtId="6" fontId="0" fillId="0" borderId="0" xfId="0" applyNumberFormat="1" applyFont="1" applyFill="1" applyBorder="1" applyAlignment="1" applyProtection="1">
      <alignment horizontal="right" vertical="center"/>
      <protection/>
    </xf>
    <xf numFmtId="0" fontId="0" fillId="33" borderId="25" xfId="0" applyFont="1" applyFill="1" applyBorder="1" applyAlignment="1" applyProtection="1">
      <alignment/>
      <protection/>
    </xf>
    <xf numFmtId="0" fontId="0" fillId="33" borderId="26" xfId="0" applyFont="1" applyFill="1" applyBorder="1" applyAlignment="1" applyProtection="1">
      <alignment/>
      <protection/>
    </xf>
    <xf numFmtId="0" fontId="0" fillId="33" borderId="27" xfId="0" applyFont="1" applyFill="1" applyBorder="1" applyAlignment="1" applyProtection="1">
      <alignment/>
      <protection/>
    </xf>
    <xf numFmtId="0" fontId="0" fillId="0" borderId="0" xfId="0" applyFont="1" applyFill="1" applyBorder="1" applyAlignment="1" applyProtection="1">
      <alignment horizontal="right" vertical="center"/>
      <protection/>
    </xf>
    <xf numFmtId="6" fontId="65" fillId="0" borderId="0" xfId="0" applyNumberFormat="1" applyFont="1" applyFill="1" applyBorder="1" applyAlignment="1" applyProtection="1">
      <alignment horizontal="right" vertical="center"/>
      <protection/>
    </xf>
    <xf numFmtId="0" fontId="6" fillId="0" borderId="0" xfId="0" applyFont="1" applyFill="1" applyAlignment="1" applyProtection="1">
      <alignment/>
      <protection/>
    </xf>
    <xf numFmtId="0" fontId="6" fillId="0" borderId="0" xfId="0" applyFont="1" applyFill="1" applyBorder="1" applyAlignment="1" applyProtection="1">
      <alignment/>
      <protection/>
    </xf>
    <xf numFmtId="0" fontId="6" fillId="33" borderId="19" xfId="0" applyFont="1" applyFill="1" applyBorder="1" applyAlignment="1" applyProtection="1">
      <alignment vertical="center"/>
      <protection/>
    </xf>
    <xf numFmtId="0" fontId="6" fillId="33" borderId="21" xfId="0" applyFont="1" applyFill="1" applyBorder="1" applyAlignment="1" applyProtection="1">
      <alignment vertical="center"/>
      <protection/>
    </xf>
    <xf numFmtId="0" fontId="6" fillId="0" borderId="0" xfId="0" applyFont="1" applyBorder="1" applyAlignment="1" applyProtection="1">
      <alignment/>
      <protection/>
    </xf>
    <xf numFmtId="0" fontId="6" fillId="0" borderId="0" xfId="0" applyFont="1" applyAlignment="1" applyProtection="1">
      <alignment/>
      <protection/>
    </xf>
    <xf numFmtId="0" fontId="6" fillId="33" borderId="22" xfId="0" applyFont="1" applyFill="1" applyBorder="1" applyAlignment="1" applyProtection="1">
      <alignment vertical="center"/>
      <protection/>
    </xf>
    <xf numFmtId="0" fontId="6" fillId="33" borderId="0" xfId="0" applyFont="1" applyFill="1" applyBorder="1" applyAlignment="1" applyProtection="1">
      <alignment vertical="center"/>
      <protection/>
    </xf>
    <xf numFmtId="0" fontId="7" fillId="33" borderId="0" xfId="0" applyFont="1" applyFill="1" applyBorder="1" applyAlignment="1" applyProtection="1">
      <alignment vertical="center"/>
      <protection/>
    </xf>
    <xf numFmtId="0" fontId="7" fillId="33" borderId="0" xfId="0" applyFont="1" applyFill="1" applyBorder="1" applyAlignment="1" applyProtection="1">
      <alignment horizontal="left" vertical="center"/>
      <protection/>
    </xf>
    <xf numFmtId="0" fontId="7" fillId="33" borderId="0" xfId="0" applyFont="1" applyFill="1" applyBorder="1" applyAlignment="1" applyProtection="1">
      <alignment horizontal="center" vertical="center"/>
      <protection/>
    </xf>
    <xf numFmtId="0" fontId="6" fillId="33" borderId="23" xfId="0" applyFont="1" applyFill="1" applyBorder="1" applyAlignment="1" applyProtection="1">
      <alignment vertical="center"/>
      <protection/>
    </xf>
    <xf numFmtId="0" fontId="7" fillId="0" borderId="0" xfId="0" applyFont="1" applyFill="1" applyAlignment="1" applyProtection="1">
      <alignment/>
      <protection/>
    </xf>
    <xf numFmtId="0" fontId="7" fillId="33" borderId="22" xfId="0" applyFont="1" applyFill="1" applyBorder="1" applyAlignment="1" applyProtection="1">
      <alignment vertical="center"/>
      <protection/>
    </xf>
    <xf numFmtId="0" fontId="7" fillId="33" borderId="23" xfId="0" applyFont="1" applyFill="1" applyBorder="1" applyAlignment="1" applyProtection="1">
      <alignment vertical="center"/>
      <protection/>
    </xf>
    <xf numFmtId="0" fontId="7" fillId="0" borderId="0" xfId="0" applyFont="1" applyBorder="1" applyAlignment="1" applyProtection="1">
      <alignment/>
      <protection/>
    </xf>
    <xf numFmtId="0" fontId="7" fillId="0" borderId="0" xfId="0" applyFont="1" applyAlignment="1" applyProtection="1">
      <alignment/>
      <protection/>
    </xf>
    <xf numFmtId="0" fontId="6" fillId="33" borderId="28" xfId="0" applyFont="1" applyFill="1" applyBorder="1" applyAlignment="1" applyProtection="1">
      <alignment vertical="center"/>
      <protection/>
    </xf>
    <xf numFmtId="0" fontId="6" fillId="33" borderId="12" xfId="0" applyFont="1" applyFill="1" applyBorder="1" applyAlignment="1" applyProtection="1">
      <alignment vertical="center"/>
      <protection/>
    </xf>
    <xf numFmtId="0" fontId="6" fillId="33" borderId="13" xfId="0" applyFont="1" applyFill="1" applyBorder="1" applyAlignment="1" applyProtection="1">
      <alignment vertical="center"/>
      <protection/>
    </xf>
    <xf numFmtId="0" fontId="6" fillId="33" borderId="14" xfId="0" applyFont="1" applyFill="1" applyBorder="1" applyAlignment="1" applyProtection="1">
      <alignment vertical="center"/>
      <protection/>
    </xf>
    <xf numFmtId="0" fontId="6" fillId="33" borderId="29" xfId="0" applyFont="1" applyFill="1" applyBorder="1" applyAlignment="1" applyProtection="1">
      <alignment vertical="center"/>
      <protection/>
    </xf>
    <xf numFmtId="0" fontId="7" fillId="33" borderId="0" xfId="0" applyFont="1" applyFill="1" applyBorder="1" applyAlignment="1" applyProtection="1">
      <alignment horizontal="center" vertical="center" wrapText="1"/>
      <protection/>
    </xf>
    <xf numFmtId="0" fontId="6" fillId="33" borderId="14" xfId="0" applyFont="1" applyFill="1" applyBorder="1" applyAlignment="1" applyProtection="1">
      <alignment vertical="center" wrapText="1"/>
      <protection/>
    </xf>
    <xf numFmtId="0" fontId="6" fillId="33" borderId="23" xfId="0" applyFont="1" applyFill="1" applyBorder="1" applyAlignment="1" applyProtection="1">
      <alignment vertical="center" wrapText="1"/>
      <protection/>
    </xf>
    <xf numFmtId="0" fontId="6" fillId="0" borderId="0" xfId="0" applyFont="1" applyBorder="1" applyAlignment="1" applyProtection="1">
      <alignment vertical="center" wrapText="1"/>
      <protection/>
    </xf>
    <xf numFmtId="5" fontId="7" fillId="0" borderId="30" xfId="0" applyNumberFormat="1" applyFont="1" applyBorder="1" applyAlignment="1" applyProtection="1">
      <alignment horizontal="center" vertical="center" wrapText="1"/>
      <protection/>
    </xf>
    <xf numFmtId="5" fontId="7" fillId="0" borderId="31" xfId="0" applyNumberFormat="1" applyFont="1" applyBorder="1" applyAlignment="1" applyProtection="1">
      <alignment horizontal="center" vertical="center" wrapText="1"/>
      <protection/>
    </xf>
    <xf numFmtId="5" fontId="7" fillId="0" borderId="24" xfId="0" applyNumberFormat="1" applyFont="1" applyBorder="1" applyAlignment="1" applyProtection="1">
      <alignment horizontal="center" vertical="center" wrapText="1"/>
      <protection/>
    </xf>
    <xf numFmtId="5" fontId="7" fillId="33" borderId="0" xfId="0" applyNumberFormat="1" applyFont="1" applyFill="1" applyBorder="1" applyAlignment="1" applyProtection="1">
      <alignment horizontal="center" vertical="center" wrapText="1"/>
      <protection/>
    </xf>
    <xf numFmtId="0" fontId="52" fillId="37" borderId="24" xfId="0" applyFont="1" applyFill="1" applyBorder="1" applyAlignment="1" applyProtection="1">
      <alignment vertical="center"/>
      <protection/>
    </xf>
    <xf numFmtId="0" fontId="52" fillId="33" borderId="0" xfId="0" applyFont="1" applyFill="1" applyBorder="1" applyAlignment="1" applyProtection="1">
      <alignment vertical="center"/>
      <protection/>
    </xf>
    <xf numFmtId="37" fontId="7" fillId="33" borderId="32" xfId="0" applyNumberFormat="1" applyFont="1" applyFill="1" applyBorder="1" applyAlignment="1" applyProtection="1">
      <alignment horizontal="center" vertical="center"/>
      <protection/>
    </xf>
    <xf numFmtId="37" fontId="7" fillId="33" borderId="18" xfId="0" applyNumberFormat="1" applyFont="1" applyFill="1" applyBorder="1" applyAlignment="1" applyProtection="1">
      <alignment horizontal="center" vertical="center"/>
      <protection/>
    </xf>
    <xf numFmtId="37" fontId="7" fillId="33" borderId="33" xfId="0" applyNumberFormat="1" applyFont="1" applyFill="1" applyBorder="1" applyAlignment="1" applyProtection="1">
      <alignment horizontal="center" vertical="center"/>
      <protection/>
    </xf>
    <xf numFmtId="37" fontId="7" fillId="33" borderId="0" xfId="0" applyNumberFormat="1" applyFont="1" applyFill="1" applyBorder="1" applyAlignment="1" applyProtection="1">
      <alignment horizontal="center" vertical="center"/>
      <protection/>
    </xf>
    <xf numFmtId="3" fontId="7" fillId="33" borderId="32" xfId="0" applyNumberFormat="1" applyFont="1" applyFill="1" applyBorder="1" applyAlignment="1" applyProtection="1">
      <alignment horizontal="center" vertical="center"/>
      <protection/>
    </xf>
    <xf numFmtId="3" fontId="7" fillId="33" borderId="18" xfId="0" applyNumberFormat="1" applyFont="1" applyFill="1" applyBorder="1" applyAlignment="1" applyProtection="1">
      <alignment horizontal="center" vertical="center"/>
      <protection/>
    </xf>
    <xf numFmtId="3" fontId="7" fillId="33" borderId="33" xfId="0" applyNumberFormat="1" applyFont="1" applyFill="1" applyBorder="1" applyAlignment="1" applyProtection="1">
      <alignment horizontal="center" vertical="center"/>
      <protection/>
    </xf>
    <xf numFmtId="3" fontId="7" fillId="33" borderId="0" xfId="0" applyNumberFormat="1" applyFont="1" applyFill="1" applyBorder="1" applyAlignment="1" applyProtection="1">
      <alignment horizontal="center" vertical="center"/>
      <protection/>
    </xf>
    <xf numFmtId="0" fontId="6" fillId="38" borderId="30" xfId="0" applyFont="1" applyFill="1" applyBorder="1" applyAlignment="1" applyProtection="1">
      <alignment vertical="center"/>
      <protection locked="0"/>
    </xf>
    <xf numFmtId="167" fontId="6" fillId="38" borderId="32" xfId="0" applyNumberFormat="1" applyFont="1" applyFill="1" applyBorder="1" applyAlignment="1" applyProtection="1">
      <alignment horizontal="center" vertical="center"/>
      <protection locked="0"/>
    </xf>
    <xf numFmtId="44" fontId="6" fillId="38" borderId="18" xfId="0" applyNumberFormat="1" applyFont="1" applyFill="1" applyBorder="1" applyAlignment="1" applyProtection="1">
      <alignment horizontal="center" vertical="center"/>
      <protection locked="0"/>
    </xf>
    <xf numFmtId="44" fontId="6" fillId="0" borderId="24" xfId="0" applyNumberFormat="1" applyFont="1" applyFill="1" applyBorder="1" applyAlignment="1" applyProtection="1">
      <alignment horizontal="center" vertical="center"/>
      <protection/>
    </xf>
    <xf numFmtId="44" fontId="6" fillId="33" borderId="0" xfId="0" applyNumberFormat="1" applyFont="1" applyFill="1" applyBorder="1" applyAlignment="1" applyProtection="1">
      <alignment horizontal="center" vertical="center"/>
      <protection/>
    </xf>
    <xf numFmtId="0" fontId="7" fillId="33" borderId="14" xfId="0" applyFont="1" applyFill="1" applyBorder="1" applyAlignment="1" applyProtection="1">
      <alignment vertical="center"/>
      <protection/>
    </xf>
    <xf numFmtId="0" fontId="6" fillId="38" borderId="24" xfId="0" applyFont="1" applyFill="1" applyBorder="1" applyAlignment="1" applyProtection="1">
      <alignment vertical="center"/>
      <protection locked="0"/>
    </xf>
    <xf numFmtId="0" fontId="6" fillId="38" borderId="24" xfId="0" applyFont="1" applyFill="1" applyBorder="1" applyAlignment="1" applyProtection="1">
      <alignment horizontal="left" vertical="center"/>
      <protection locked="0"/>
    </xf>
    <xf numFmtId="0" fontId="6" fillId="33" borderId="0" xfId="0" applyFont="1" applyFill="1" applyBorder="1" applyAlignment="1" applyProtection="1">
      <alignment horizontal="left" vertical="center"/>
      <protection/>
    </xf>
    <xf numFmtId="0" fontId="7" fillId="39" borderId="24" xfId="0" applyFont="1" applyFill="1" applyBorder="1" applyAlignment="1" applyProtection="1">
      <alignment vertical="center"/>
      <protection/>
    </xf>
    <xf numFmtId="167" fontId="7" fillId="0" borderId="24" xfId="0" applyNumberFormat="1" applyFont="1" applyFill="1" applyBorder="1" applyAlignment="1" applyProtection="1">
      <alignment horizontal="center" vertical="center"/>
      <protection/>
    </xf>
    <xf numFmtId="44" fontId="7" fillId="0" borderId="34" xfId="0" applyNumberFormat="1" applyFont="1" applyFill="1" applyBorder="1" applyAlignment="1" applyProtection="1">
      <alignment horizontal="center" vertical="center"/>
      <protection/>
    </xf>
    <xf numFmtId="44" fontId="7" fillId="0" borderId="24" xfId="0" applyNumberFormat="1" applyFont="1" applyFill="1" applyBorder="1" applyAlignment="1" applyProtection="1">
      <alignment horizontal="center" vertical="center"/>
      <protection/>
    </xf>
    <xf numFmtId="44" fontId="7" fillId="33" borderId="0" xfId="0" applyNumberFormat="1" applyFont="1" applyFill="1" applyBorder="1" applyAlignment="1" applyProtection="1">
      <alignment horizontal="center" vertical="center"/>
      <protection/>
    </xf>
    <xf numFmtId="0" fontId="7" fillId="39" borderId="34" xfId="0" applyFont="1" applyFill="1" applyBorder="1" applyAlignment="1" applyProtection="1">
      <alignment vertical="center"/>
      <protection/>
    </xf>
    <xf numFmtId="0" fontId="7" fillId="39" borderId="29" xfId="0" applyFont="1" applyFill="1" applyBorder="1" applyAlignment="1" applyProtection="1">
      <alignment vertical="center"/>
      <protection/>
    </xf>
    <xf numFmtId="0" fontId="7" fillId="39" borderId="0" xfId="0" applyFont="1" applyFill="1" applyBorder="1" applyAlignment="1" applyProtection="1">
      <alignment vertical="center"/>
      <protection/>
    </xf>
    <xf numFmtId="0" fontId="7" fillId="39" borderId="14" xfId="0" applyFont="1" applyFill="1" applyBorder="1" applyAlignment="1" applyProtection="1">
      <alignment vertical="center"/>
      <protection/>
    </xf>
    <xf numFmtId="0" fontId="7" fillId="33" borderId="31" xfId="0" applyFont="1" applyFill="1" applyBorder="1" applyAlignment="1" applyProtection="1">
      <alignment horizontal="center" vertical="center"/>
      <protection/>
    </xf>
    <xf numFmtId="0" fontId="7" fillId="33" borderId="10" xfId="0" applyFont="1" applyFill="1" applyBorder="1" applyAlignment="1" applyProtection="1">
      <alignment horizontal="center" vertical="center"/>
      <protection/>
    </xf>
    <xf numFmtId="0" fontId="7" fillId="33" borderId="15" xfId="0" applyFont="1" applyFill="1" applyBorder="1" applyAlignment="1" applyProtection="1">
      <alignment horizontal="center" vertical="center"/>
      <protection/>
    </xf>
    <xf numFmtId="3" fontId="7" fillId="33" borderId="31" xfId="0" applyNumberFormat="1" applyFont="1" applyFill="1" applyBorder="1" applyAlignment="1" applyProtection="1">
      <alignment horizontal="center" vertical="center"/>
      <protection/>
    </xf>
    <xf numFmtId="3" fontId="7" fillId="33" borderId="10" xfId="0" applyNumberFormat="1" applyFont="1" applyFill="1" applyBorder="1" applyAlignment="1" applyProtection="1">
      <alignment horizontal="center" vertical="center"/>
      <protection/>
    </xf>
    <xf numFmtId="3" fontId="7" fillId="33" borderId="15" xfId="0" applyNumberFormat="1" applyFont="1" applyFill="1" applyBorder="1" applyAlignment="1" applyProtection="1">
      <alignment horizontal="center" vertical="center"/>
      <protection/>
    </xf>
    <xf numFmtId="167" fontId="6" fillId="33" borderId="0" xfId="0" applyNumberFormat="1" applyFont="1" applyFill="1" applyBorder="1" applyAlignment="1" applyProtection="1">
      <alignment horizontal="center" vertical="center"/>
      <protection/>
    </xf>
    <xf numFmtId="3" fontId="6" fillId="33" borderId="14" xfId="0" applyNumberFormat="1" applyFont="1" applyFill="1" applyBorder="1" applyAlignment="1" applyProtection="1">
      <alignment vertical="center"/>
      <protection/>
    </xf>
    <xf numFmtId="0" fontId="6" fillId="38" borderId="24" xfId="0" applyFont="1" applyFill="1" applyBorder="1" applyAlignment="1" applyProtection="1">
      <alignment vertical="center" wrapText="1"/>
      <protection locked="0"/>
    </xf>
    <xf numFmtId="0" fontId="6" fillId="33" borderId="0" xfId="0" applyFont="1" applyFill="1" applyBorder="1" applyAlignment="1" applyProtection="1">
      <alignment vertical="center" wrapText="1"/>
      <protection/>
    </xf>
    <xf numFmtId="167" fontId="7" fillId="33" borderId="0" xfId="0" applyNumberFormat="1" applyFont="1" applyFill="1" applyBorder="1" applyAlignment="1" applyProtection="1">
      <alignment horizontal="center" vertical="center"/>
      <protection/>
    </xf>
    <xf numFmtId="0" fontId="7" fillId="33" borderId="17" xfId="0" applyFont="1" applyFill="1" applyBorder="1" applyAlignment="1" applyProtection="1">
      <alignment vertical="center"/>
      <protection/>
    </xf>
    <xf numFmtId="167" fontId="7" fillId="33" borderId="28" xfId="0" applyNumberFormat="1" applyFont="1" applyFill="1" applyBorder="1" applyAlignment="1" applyProtection="1">
      <alignment horizontal="center" vertical="center"/>
      <protection/>
    </xf>
    <xf numFmtId="44" fontId="7" fillId="33" borderId="10" xfId="0" applyNumberFormat="1" applyFont="1" applyFill="1" applyBorder="1" applyAlignment="1" applyProtection="1">
      <alignment horizontal="center" vertical="center"/>
      <protection/>
    </xf>
    <xf numFmtId="44" fontId="7" fillId="33" borderId="33" xfId="0" applyNumberFormat="1" applyFont="1" applyFill="1" applyBorder="1" applyAlignment="1" applyProtection="1">
      <alignment horizontal="center" vertical="center"/>
      <protection/>
    </xf>
    <xf numFmtId="44" fontId="6" fillId="33" borderId="10" xfId="0" applyNumberFormat="1" applyFont="1" applyFill="1" applyBorder="1" applyAlignment="1" applyProtection="1">
      <alignment horizontal="center" vertical="center"/>
      <protection/>
    </xf>
    <xf numFmtId="167" fontId="7" fillId="33" borderId="33" xfId="0" applyNumberFormat="1" applyFont="1" applyFill="1" applyBorder="1" applyAlignment="1" applyProtection="1">
      <alignment horizontal="center" vertical="center"/>
      <protection/>
    </xf>
    <xf numFmtId="167" fontId="7" fillId="33" borderId="14" xfId="0" applyNumberFormat="1" applyFont="1" applyFill="1" applyBorder="1" applyAlignment="1" applyProtection="1">
      <alignment horizontal="center" vertical="center"/>
      <protection/>
    </xf>
    <xf numFmtId="0" fontId="7" fillId="0" borderId="17" xfId="0" applyFont="1" applyBorder="1" applyAlignment="1" applyProtection="1">
      <alignment horizontal="center" vertical="center" wrapText="1"/>
      <protection/>
    </xf>
    <xf numFmtId="5" fontId="7" fillId="33" borderId="17" xfId="0" applyNumberFormat="1" applyFont="1" applyFill="1" applyBorder="1" applyAlignment="1" applyProtection="1">
      <alignment horizontal="center" vertical="center" wrapText="1"/>
      <protection/>
    </xf>
    <xf numFmtId="5" fontId="7" fillId="0" borderId="10" xfId="0" applyNumberFormat="1" applyFont="1" applyBorder="1" applyAlignment="1" applyProtection="1">
      <alignment horizontal="center" vertical="center" wrapText="1"/>
      <protection/>
    </xf>
    <xf numFmtId="0" fontId="6" fillId="0" borderId="0" xfId="0" applyFont="1" applyFill="1" applyBorder="1" applyAlignment="1" applyProtection="1">
      <alignment vertical="center" wrapText="1"/>
      <protection/>
    </xf>
    <xf numFmtId="1" fontId="6" fillId="33" borderId="29" xfId="0" applyNumberFormat="1" applyFont="1" applyFill="1" applyBorder="1" applyAlignment="1" applyProtection="1">
      <alignment horizontal="center" vertical="center"/>
      <protection/>
    </xf>
    <xf numFmtId="1" fontId="6" fillId="33" borderId="18" xfId="0" applyNumberFormat="1" applyFont="1" applyFill="1" applyBorder="1" applyAlignment="1" applyProtection="1">
      <alignment horizontal="center" vertical="center"/>
      <protection/>
    </xf>
    <xf numFmtId="1" fontId="6" fillId="33" borderId="33" xfId="0" applyNumberFormat="1" applyFont="1" applyFill="1" applyBorder="1" applyAlignment="1" applyProtection="1">
      <alignment horizontal="center" vertical="center"/>
      <protection/>
    </xf>
    <xf numFmtId="1" fontId="6" fillId="33" borderId="0" xfId="0" applyNumberFormat="1" applyFont="1" applyFill="1" applyBorder="1" applyAlignment="1" applyProtection="1">
      <alignment horizontal="center" vertical="center"/>
      <protection/>
    </xf>
    <xf numFmtId="0" fontId="6" fillId="33" borderId="29" xfId="0" applyFont="1" applyFill="1" applyBorder="1" applyAlignment="1" applyProtection="1">
      <alignment horizontal="center" vertical="center"/>
      <protection/>
    </xf>
    <xf numFmtId="0" fontId="6" fillId="33" borderId="12" xfId="0" applyFont="1" applyFill="1" applyBorder="1" applyAlignment="1" applyProtection="1">
      <alignment horizontal="center" vertical="center"/>
      <protection/>
    </xf>
    <xf numFmtId="0" fontId="6" fillId="33" borderId="13" xfId="0" applyFont="1" applyFill="1" applyBorder="1" applyAlignment="1" applyProtection="1">
      <alignment horizontal="center" vertical="center"/>
      <protection/>
    </xf>
    <xf numFmtId="0" fontId="6" fillId="33" borderId="14" xfId="0" applyFont="1" applyFill="1" applyBorder="1" applyAlignment="1" applyProtection="1">
      <alignment horizontal="center" vertical="center"/>
      <protection/>
    </xf>
    <xf numFmtId="0" fontId="6" fillId="0" borderId="30" xfId="0" applyFont="1" applyFill="1" applyBorder="1" applyAlignment="1" applyProtection="1">
      <alignment vertical="center"/>
      <protection/>
    </xf>
    <xf numFmtId="1" fontId="6" fillId="33" borderId="17" xfId="0" applyNumberFormat="1" applyFont="1" applyFill="1" applyBorder="1" applyAlignment="1" applyProtection="1">
      <alignment horizontal="center" vertical="center"/>
      <protection/>
    </xf>
    <xf numFmtId="44" fontId="6" fillId="38" borderId="24" xfId="0" applyNumberFormat="1" applyFont="1" applyFill="1" applyBorder="1" applyAlignment="1" applyProtection="1">
      <alignment horizontal="center" vertical="center"/>
      <protection locked="0"/>
    </xf>
    <xf numFmtId="0" fontId="6" fillId="33" borderId="17" xfId="0" applyFont="1" applyFill="1" applyBorder="1" applyAlignment="1" applyProtection="1">
      <alignment horizontal="center" vertical="center"/>
      <protection/>
    </xf>
    <xf numFmtId="0" fontId="6" fillId="0" borderId="24" xfId="0" applyFont="1" applyFill="1" applyBorder="1" applyAlignment="1" applyProtection="1">
      <alignment vertical="center"/>
      <protection/>
    </xf>
    <xf numFmtId="168" fontId="6" fillId="0" borderId="24" xfId="0" applyNumberFormat="1" applyFont="1" applyFill="1" applyBorder="1" applyAlignment="1" applyProtection="1">
      <alignment horizontal="center" vertical="center"/>
      <protection/>
    </xf>
    <xf numFmtId="168" fontId="6" fillId="0" borderId="33" xfId="0" applyNumberFormat="1" applyFont="1" applyFill="1" applyBorder="1" applyAlignment="1" applyProtection="1">
      <alignment horizontal="center" vertical="center"/>
      <protection/>
    </xf>
    <xf numFmtId="10" fontId="6" fillId="0" borderId="24" xfId="0" applyNumberFormat="1" applyFont="1" applyFill="1" applyBorder="1" applyAlignment="1" applyProtection="1">
      <alignment horizontal="center" vertical="center"/>
      <protection/>
    </xf>
    <xf numFmtId="10" fontId="6" fillId="0" borderId="33" xfId="0" applyNumberFormat="1" applyFont="1" applyFill="1" applyBorder="1" applyAlignment="1" applyProtection="1">
      <alignment horizontal="center" vertical="center"/>
      <protection/>
    </xf>
    <xf numFmtId="0" fontId="6" fillId="33" borderId="31" xfId="0" applyFont="1" applyFill="1" applyBorder="1" applyAlignment="1" applyProtection="1">
      <alignment vertical="center"/>
      <protection/>
    </xf>
    <xf numFmtId="0" fontId="7" fillId="39" borderId="10" xfId="0" applyFont="1" applyFill="1" applyBorder="1" applyAlignment="1" applyProtection="1">
      <alignment vertical="center"/>
      <protection/>
    </xf>
    <xf numFmtId="0" fontId="7" fillId="33" borderId="10" xfId="0" applyFont="1" applyFill="1" applyBorder="1" applyAlignment="1" applyProtection="1">
      <alignment vertical="center"/>
      <protection/>
    </xf>
    <xf numFmtId="0" fontId="6" fillId="33" borderId="10" xfId="0" applyFont="1" applyFill="1" applyBorder="1" applyAlignment="1" applyProtection="1">
      <alignment vertical="center"/>
      <protection/>
    </xf>
    <xf numFmtId="167" fontId="7" fillId="39" borderId="10" xfId="0" applyNumberFormat="1" applyFont="1" applyFill="1" applyBorder="1" applyAlignment="1" applyProtection="1">
      <alignment horizontal="center" vertical="center"/>
      <protection/>
    </xf>
    <xf numFmtId="44" fontId="7" fillId="39" borderId="10" xfId="0" applyNumberFormat="1" applyFont="1" applyFill="1" applyBorder="1" applyAlignment="1" applyProtection="1">
      <alignment horizontal="center" vertical="center"/>
      <protection/>
    </xf>
    <xf numFmtId="167" fontId="7" fillId="33" borderId="10" xfId="0" applyNumberFormat="1" applyFont="1" applyFill="1" applyBorder="1" applyAlignment="1" applyProtection="1">
      <alignment horizontal="center" vertical="center"/>
      <protection/>
    </xf>
    <xf numFmtId="0" fontId="6" fillId="33" borderId="15" xfId="0" applyFont="1" applyFill="1" applyBorder="1" applyAlignment="1" applyProtection="1">
      <alignment vertical="center"/>
      <protection/>
    </xf>
    <xf numFmtId="5" fontId="6" fillId="0" borderId="0" xfId="0" applyNumberFormat="1" applyFont="1" applyFill="1" applyBorder="1" applyAlignment="1" applyProtection="1">
      <alignment/>
      <protection/>
    </xf>
    <xf numFmtId="167" fontId="7" fillId="39" borderId="0" xfId="0" applyNumberFormat="1" applyFont="1" applyFill="1" applyBorder="1" applyAlignment="1" applyProtection="1">
      <alignment horizontal="center" vertical="center"/>
      <protection/>
    </xf>
    <xf numFmtId="44" fontId="7" fillId="39" borderId="0" xfId="0" applyNumberFormat="1" applyFont="1" applyFill="1" applyBorder="1" applyAlignment="1" applyProtection="1">
      <alignment horizontal="center" vertical="center"/>
      <protection/>
    </xf>
    <xf numFmtId="0" fontId="7" fillId="39" borderId="12" xfId="0" applyFont="1" applyFill="1" applyBorder="1" applyAlignment="1" applyProtection="1">
      <alignment vertical="center"/>
      <protection/>
    </xf>
    <xf numFmtId="0" fontId="7" fillId="33" borderId="12" xfId="0" applyFont="1" applyFill="1" applyBorder="1" applyAlignment="1" applyProtection="1">
      <alignment vertical="center"/>
      <protection/>
    </xf>
    <xf numFmtId="167" fontId="7" fillId="39" borderId="12" xfId="0" applyNumberFormat="1" applyFont="1" applyFill="1" applyBorder="1" applyAlignment="1" applyProtection="1">
      <alignment horizontal="center" vertical="center"/>
      <protection/>
    </xf>
    <xf numFmtId="44" fontId="7" fillId="39" borderId="12" xfId="0" applyNumberFormat="1" applyFont="1" applyFill="1" applyBorder="1" applyAlignment="1" applyProtection="1">
      <alignment horizontal="center" vertical="center"/>
      <protection/>
    </xf>
    <xf numFmtId="44" fontId="7" fillId="33" borderId="12" xfId="0" applyNumberFormat="1" applyFont="1" applyFill="1" applyBorder="1" applyAlignment="1" applyProtection="1">
      <alignment horizontal="center" vertical="center"/>
      <protection/>
    </xf>
    <xf numFmtId="167" fontId="7" fillId="33" borderId="12" xfId="0" applyNumberFormat="1" applyFont="1" applyFill="1" applyBorder="1" applyAlignment="1" applyProtection="1">
      <alignment horizontal="center" vertical="center"/>
      <protection/>
    </xf>
    <xf numFmtId="0" fontId="52" fillId="40" borderId="24" xfId="0" applyFont="1" applyFill="1" applyBorder="1" applyAlignment="1" applyProtection="1">
      <alignment vertical="center"/>
      <protection/>
    </xf>
    <xf numFmtId="42" fontId="7" fillId="33" borderId="0" xfId="0" applyNumberFormat="1" applyFont="1" applyFill="1" applyBorder="1" applyAlignment="1" applyProtection="1">
      <alignment vertical="center"/>
      <protection/>
    </xf>
    <xf numFmtId="0" fontId="7" fillId="33" borderId="29" xfId="0" applyFont="1" applyFill="1" applyBorder="1" applyAlignment="1" applyProtection="1">
      <alignment vertical="center"/>
      <protection/>
    </xf>
    <xf numFmtId="42" fontId="7" fillId="33" borderId="0" xfId="46" applyNumberFormat="1" applyFont="1" applyFill="1" applyBorder="1" applyAlignment="1" applyProtection="1">
      <alignment vertical="center"/>
      <protection/>
    </xf>
    <xf numFmtId="0" fontId="8" fillId="33" borderId="23" xfId="0" applyFont="1" applyFill="1" applyBorder="1" applyAlignment="1" applyProtection="1">
      <alignment vertical="center"/>
      <protection/>
    </xf>
    <xf numFmtId="0" fontId="7" fillId="0" borderId="0" xfId="0" applyFont="1" applyFill="1" applyBorder="1" applyAlignment="1" applyProtection="1">
      <alignment/>
      <protection/>
    </xf>
    <xf numFmtId="9" fontId="6" fillId="0" borderId="0" xfId="0" applyNumberFormat="1" applyFont="1" applyFill="1" applyBorder="1" applyAlignment="1" applyProtection="1">
      <alignment horizontal="center"/>
      <protection/>
    </xf>
    <xf numFmtId="1" fontId="6" fillId="33" borderId="0" xfId="0" applyNumberFormat="1" applyFont="1" applyFill="1" applyBorder="1" applyAlignment="1" applyProtection="1">
      <alignment vertical="center"/>
      <protection/>
    </xf>
    <xf numFmtId="44" fontId="7" fillId="33" borderId="14" xfId="0" applyNumberFormat="1" applyFont="1" applyFill="1" applyBorder="1" applyAlignment="1" applyProtection="1">
      <alignment horizontal="center" vertical="center"/>
      <protection/>
    </xf>
    <xf numFmtId="44" fontId="7" fillId="33" borderId="14" xfId="0" applyNumberFormat="1" applyFont="1" applyFill="1" applyBorder="1" applyAlignment="1" applyProtection="1">
      <alignment vertical="center"/>
      <protection/>
    </xf>
    <xf numFmtId="0" fontId="7" fillId="33" borderId="31" xfId="0" applyFont="1" applyFill="1" applyBorder="1" applyAlignment="1" applyProtection="1">
      <alignment vertical="center"/>
      <protection/>
    </xf>
    <xf numFmtId="167" fontId="6" fillId="33" borderId="10" xfId="0" applyNumberFormat="1" applyFont="1" applyFill="1" applyBorder="1" applyAlignment="1" applyProtection="1">
      <alignment horizontal="center" vertical="center"/>
      <protection/>
    </xf>
    <xf numFmtId="167" fontId="7" fillId="33" borderId="15" xfId="0" applyNumberFormat="1" applyFont="1" applyFill="1" applyBorder="1" applyAlignment="1" applyProtection="1">
      <alignment horizontal="center" vertical="center"/>
      <protection/>
    </xf>
    <xf numFmtId="0" fontId="34" fillId="33" borderId="10" xfId="0" applyFont="1" applyFill="1" applyBorder="1" applyAlignment="1" applyProtection="1">
      <alignment vertical="center"/>
      <protection/>
    </xf>
    <xf numFmtId="0" fontId="34" fillId="33" borderId="0" xfId="0" applyFont="1" applyFill="1" applyBorder="1" applyAlignment="1" applyProtection="1">
      <alignment vertical="center"/>
      <protection/>
    </xf>
    <xf numFmtId="0" fontId="6" fillId="33" borderId="25" xfId="0" applyFont="1" applyFill="1" applyBorder="1" applyAlignment="1" applyProtection="1">
      <alignment vertical="center"/>
      <protection/>
    </xf>
    <xf numFmtId="0" fontId="6" fillId="33" borderId="26" xfId="0" applyFont="1" applyFill="1" applyBorder="1" applyAlignment="1" applyProtection="1">
      <alignment vertical="center"/>
      <protection/>
    </xf>
    <xf numFmtId="0" fontId="6" fillId="33" borderId="27" xfId="0" applyFont="1" applyFill="1" applyBorder="1" applyAlignment="1" applyProtection="1">
      <alignment vertical="center"/>
      <protection/>
    </xf>
    <xf numFmtId="1" fontId="6" fillId="0" borderId="0" xfId="0" applyNumberFormat="1" applyFont="1" applyFill="1" applyAlignment="1" applyProtection="1">
      <alignment/>
      <protection/>
    </xf>
    <xf numFmtId="0" fontId="6" fillId="36" borderId="34" xfId="59" applyFont="1" applyFill="1" applyBorder="1" applyAlignment="1" applyProtection="1">
      <alignment horizontal="center" vertical="center"/>
      <protection locked="0"/>
    </xf>
    <xf numFmtId="0" fontId="6" fillId="33" borderId="0" xfId="59" applyFont="1" applyFill="1" applyBorder="1" applyAlignment="1" applyProtection="1">
      <alignment horizontal="center" vertical="center"/>
      <protection/>
    </xf>
    <xf numFmtId="0" fontId="0" fillId="33" borderId="29" xfId="0" applyFont="1" applyFill="1" applyBorder="1" applyAlignment="1" applyProtection="1">
      <alignment/>
      <protection/>
    </xf>
    <xf numFmtId="0" fontId="72" fillId="33" borderId="14" xfId="59" applyFont="1" applyFill="1" applyBorder="1" applyAlignment="1" applyProtection="1">
      <alignment horizontal="center" vertical="center"/>
      <protection/>
    </xf>
    <xf numFmtId="0" fontId="9" fillId="33" borderId="0" xfId="59" applyFont="1" applyFill="1" applyBorder="1" applyAlignment="1" applyProtection="1">
      <alignment horizontal="left" vertical="center"/>
      <protection/>
    </xf>
    <xf numFmtId="0" fontId="6" fillId="33" borderId="0" xfId="59" applyFont="1" applyFill="1" applyBorder="1" applyAlignment="1" applyProtection="1">
      <alignment horizontal="left" vertical="center"/>
      <protection/>
    </xf>
    <xf numFmtId="0" fontId="6" fillId="33" borderId="0" xfId="59" applyFont="1" applyFill="1" applyBorder="1" applyAlignment="1" applyProtection="1">
      <alignment horizontal="left" vertical="center" wrapText="1"/>
      <protection/>
    </xf>
    <xf numFmtId="1" fontId="6" fillId="33" borderId="10" xfId="59" applyNumberFormat="1" applyFont="1" applyFill="1" applyBorder="1" applyAlignment="1" applyProtection="1">
      <alignment horizontal="center" vertical="center"/>
      <protection/>
    </xf>
    <xf numFmtId="0" fontId="0" fillId="33" borderId="0" xfId="0" applyFont="1" applyFill="1" applyAlignment="1" applyProtection="1">
      <alignment/>
      <protection/>
    </xf>
    <xf numFmtId="44" fontId="73" fillId="0" borderId="0" xfId="0" applyNumberFormat="1" applyFont="1" applyAlignment="1">
      <alignment horizontal="left" vertical="center"/>
    </xf>
    <xf numFmtId="0" fontId="65" fillId="33" borderId="0" xfId="0" applyFont="1" applyFill="1" applyBorder="1" applyAlignment="1" applyProtection="1">
      <alignment horizontal="left" vertical="center" indent="2"/>
      <protection/>
    </xf>
    <xf numFmtId="9" fontId="6" fillId="36" borderId="24" xfId="59" applyNumberFormat="1" applyFont="1" applyFill="1" applyBorder="1" applyAlignment="1" applyProtection="1">
      <alignment horizontal="center" vertical="center"/>
      <protection locked="0"/>
    </xf>
    <xf numFmtId="9" fontId="0" fillId="0" borderId="0" xfId="0" applyNumberFormat="1" applyFont="1" applyFill="1" applyAlignment="1" applyProtection="1">
      <alignment/>
      <protection/>
    </xf>
    <xf numFmtId="1" fontId="0" fillId="0" borderId="0" xfId="0" applyNumberFormat="1" applyFont="1" applyFill="1" applyAlignment="1" applyProtection="1">
      <alignment/>
      <protection/>
    </xf>
    <xf numFmtId="44" fontId="0" fillId="33" borderId="0" xfId="0" applyNumberFormat="1" applyFont="1" applyFill="1" applyBorder="1" applyAlignment="1" applyProtection="1">
      <alignment/>
      <protection/>
    </xf>
    <xf numFmtId="0" fontId="8" fillId="33" borderId="0" xfId="59" applyFont="1" applyFill="1" applyBorder="1" applyAlignment="1" applyProtection="1">
      <alignment horizontal="center"/>
      <protection/>
    </xf>
    <xf numFmtId="0" fontId="0" fillId="33" borderId="35" xfId="0" applyFont="1" applyFill="1" applyBorder="1" applyAlignment="1" applyProtection="1">
      <alignment/>
      <protection/>
    </xf>
    <xf numFmtId="1" fontId="6" fillId="33" borderId="24" xfId="59" applyNumberFormat="1" applyFont="1" applyFill="1" applyBorder="1" applyAlignment="1" applyProtection="1">
      <alignment horizontal="center" vertical="center"/>
      <protection/>
    </xf>
    <xf numFmtId="0" fontId="6" fillId="33" borderId="24" xfId="59" applyFont="1" applyFill="1" applyBorder="1" applyAlignment="1" applyProtection="1">
      <alignment horizontal="center" vertical="center"/>
      <protection/>
    </xf>
    <xf numFmtId="0" fontId="0" fillId="0" borderId="0" xfId="0" applyFont="1" applyFill="1" applyAlignment="1" applyProtection="1">
      <alignment vertical="center"/>
      <protection/>
    </xf>
    <xf numFmtId="0" fontId="65" fillId="0" borderId="0" xfId="0" applyFont="1" applyFill="1" applyAlignment="1" applyProtection="1">
      <alignment horizontal="center" vertical="center"/>
      <protection/>
    </xf>
    <xf numFmtId="49" fontId="0" fillId="0" borderId="0" xfId="0" applyNumberFormat="1" applyFont="1" applyFill="1" applyAlignment="1" applyProtection="1">
      <alignment vertical="center"/>
      <protection/>
    </xf>
    <xf numFmtId="165" fontId="0" fillId="0" borderId="0" xfId="44" applyNumberFormat="1" applyFont="1" applyFill="1" applyAlignment="1" applyProtection="1">
      <alignment vertical="center"/>
      <protection/>
    </xf>
    <xf numFmtId="0" fontId="74" fillId="0" borderId="0" xfId="0" applyFont="1" applyFill="1" applyAlignment="1" applyProtection="1">
      <alignment vertical="center"/>
      <protection/>
    </xf>
    <xf numFmtId="0" fontId="0" fillId="0" borderId="0" xfId="0" applyFont="1" applyFill="1" applyAlignment="1" applyProtection="1">
      <alignment vertical="center" wrapText="1"/>
      <protection/>
    </xf>
    <xf numFmtId="0" fontId="0" fillId="33" borderId="19" xfId="0" applyFont="1" applyFill="1" applyBorder="1" applyAlignment="1" applyProtection="1">
      <alignment vertical="center"/>
      <protection/>
    </xf>
    <xf numFmtId="0" fontId="65" fillId="33" borderId="20" xfId="0" applyFont="1" applyFill="1" applyBorder="1" applyAlignment="1" applyProtection="1">
      <alignment horizontal="center" vertical="center"/>
      <protection/>
    </xf>
    <xf numFmtId="0" fontId="74" fillId="33" borderId="20" xfId="0" applyFont="1" applyFill="1" applyBorder="1" applyAlignment="1" applyProtection="1">
      <alignment vertical="center"/>
      <protection/>
    </xf>
    <xf numFmtId="0" fontId="0" fillId="33" borderId="21" xfId="0" applyFont="1" applyFill="1" applyBorder="1" applyAlignment="1" applyProtection="1">
      <alignment vertical="center"/>
      <protection/>
    </xf>
    <xf numFmtId="0" fontId="0" fillId="33" borderId="22" xfId="0" applyFont="1" applyFill="1" applyBorder="1" applyAlignment="1" applyProtection="1">
      <alignment vertical="center"/>
      <protection/>
    </xf>
    <xf numFmtId="0" fontId="65" fillId="33" borderId="0" xfId="0" applyFont="1" applyFill="1" applyBorder="1" applyAlignment="1" applyProtection="1">
      <alignment horizontal="center" vertical="center"/>
      <protection/>
    </xf>
    <xf numFmtId="49" fontId="0" fillId="33" borderId="0" xfId="0" applyNumberFormat="1" applyFont="1" applyFill="1" applyBorder="1" applyAlignment="1" applyProtection="1">
      <alignment vertical="center"/>
      <protection/>
    </xf>
    <xf numFmtId="0" fontId="65" fillId="33" borderId="0" xfId="0" applyFont="1" applyFill="1" applyBorder="1" applyAlignment="1" applyProtection="1">
      <alignment vertical="center"/>
      <protection/>
    </xf>
    <xf numFmtId="165" fontId="0" fillId="33" borderId="0" xfId="44" applyNumberFormat="1" applyFont="1" applyFill="1" applyBorder="1" applyAlignment="1" applyProtection="1">
      <alignment vertical="center"/>
      <protection/>
    </xf>
    <xf numFmtId="0" fontId="74" fillId="33" borderId="0" xfId="0" applyFont="1" applyFill="1" applyBorder="1" applyAlignment="1" applyProtection="1">
      <alignment vertical="center"/>
      <protection/>
    </xf>
    <xf numFmtId="0" fontId="0" fillId="33" borderId="23" xfId="0" applyFont="1" applyFill="1" applyBorder="1" applyAlignment="1" applyProtection="1">
      <alignment vertical="center"/>
      <protection/>
    </xf>
    <xf numFmtId="0" fontId="0" fillId="0" borderId="0" xfId="0" applyFont="1" applyAlignment="1" applyProtection="1">
      <alignment vertical="center"/>
      <protection/>
    </xf>
    <xf numFmtId="0" fontId="65" fillId="33" borderId="0" xfId="0" applyFont="1" applyFill="1" applyBorder="1" applyAlignment="1" applyProtection="1">
      <alignment horizontal="left" vertical="center"/>
      <protection/>
    </xf>
    <xf numFmtId="0" fontId="0" fillId="33" borderId="0" xfId="0" applyFont="1" applyFill="1" applyBorder="1" applyAlignment="1" applyProtection="1">
      <alignment vertical="center" wrapText="1"/>
      <protection/>
    </xf>
    <xf numFmtId="49" fontId="65" fillId="33" borderId="0" xfId="0" applyNumberFormat="1" applyFont="1" applyFill="1" applyBorder="1" applyAlignment="1" applyProtection="1">
      <alignment vertical="center"/>
      <protection/>
    </xf>
    <xf numFmtId="49" fontId="75" fillId="33" borderId="28" xfId="0" applyNumberFormat="1" applyFont="1" applyFill="1" applyBorder="1" applyAlignment="1" applyProtection="1">
      <alignment vertical="center"/>
      <protection/>
    </xf>
    <xf numFmtId="0" fontId="7" fillId="33" borderId="12" xfId="0" applyFont="1" applyFill="1" applyBorder="1" applyAlignment="1" applyProtection="1">
      <alignment horizontal="center" vertical="center"/>
      <protection/>
    </xf>
    <xf numFmtId="0" fontId="7" fillId="33" borderId="13" xfId="0" applyFont="1" applyFill="1" applyBorder="1" applyAlignment="1" applyProtection="1">
      <alignment horizontal="center" vertical="center"/>
      <protection/>
    </xf>
    <xf numFmtId="0" fontId="65" fillId="33" borderId="28" xfId="0" applyFont="1" applyFill="1" applyBorder="1" applyAlignment="1" applyProtection="1">
      <alignment horizontal="center" vertical="center"/>
      <protection/>
    </xf>
    <xf numFmtId="49" fontId="65" fillId="33" borderId="12" xfId="0" applyNumberFormat="1" applyFont="1" applyFill="1" applyBorder="1" applyAlignment="1" applyProtection="1">
      <alignment vertical="center"/>
      <protection/>
    </xf>
    <xf numFmtId="0" fontId="7" fillId="33" borderId="12" xfId="0" applyFont="1" applyFill="1" applyBorder="1" applyAlignment="1" applyProtection="1">
      <alignment horizontal="center" vertical="center" wrapText="1"/>
      <protection/>
    </xf>
    <xf numFmtId="0" fontId="7" fillId="33" borderId="14" xfId="0" applyFont="1" applyFill="1" applyBorder="1" applyAlignment="1" applyProtection="1">
      <alignment horizontal="center" vertical="center"/>
      <protection/>
    </xf>
    <xf numFmtId="0" fontId="65" fillId="33" borderId="29" xfId="0" applyFont="1" applyFill="1" applyBorder="1" applyAlignment="1" applyProtection="1">
      <alignment horizontal="center" vertical="center"/>
      <protection/>
    </xf>
    <xf numFmtId="0" fontId="0" fillId="0" borderId="0" xfId="0" applyFont="1" applyFill="1" applyBorder="1" applyAlignment="1" applyProtection="1">
      <alignment vertical="center"/>
      <protection/>
    </xf>
    <xf numFmtId="165" fontId="0" fillId="33" borderId="18" xfId="44" applyNumberFormat="1" applyFont="1" applyFill="1" applyBorder="1" applyAlignment="1" applyProtection="1">
      <alignment vertical="center"/>
      <protection/>
    </xf>
    <xf numFmtId="0" fontId="76" fillId="33" borderId="14" xfId="0" applyFont="1" applyFill="1" applyBorder="1" applyAlignment="1" applyProtection="1">
      <alignment vertical="center" wrapText="1"/>
      <protection/>
    </xf>
    <xf numFmtId="0" fontId="77" fillId="0" borderId="0" xfId="0" applyFont="1" applyFill="1" applyBorder="1" applyAlignment="1" applyProtection="1">
      <alignment horizontal="left" vertical="center" wrapText="1"/>
      <protection/>
    </xf>
    <xf numFmtId="44" fontId="0" fillId="33" borderId="24" xfId="44" applyNumberFormat="1" applyFont="1" applyFill="1" applyBorder="1" applyAlignment="1" applyProtection="1">
      <alignment vertical="center"/>
      <protection/>
    </xf>
    <xf numFmtId="49" fontId="6" fillId="33" borderId="23" xfId="0" applyNumberFormat="1" applyFont="1" applyFill="1" applyBorder="1" applyAlignment="1" applyProtection="1">
      <alignment horizontal="left" vertical="center"/>
      <protection/>
    </xf>
    <xf numFmtId="4" fontId="76" fillId="33" borderId="14" xfId="0" applyNumberFormat="1" applyFont="1" applyFill="1" applyBorder="1" applyAlignment="1" applyProtection="1">
      <alignment vertical="center" wrapText="1"/>
      <protection/>
    </xf>
    <xf numFmtId="44" fontId="0" fillId="36" borderId="24" xfId="44" applyNumberFormat="1" applyFont="1" applyFill="1" applyBorder="1" applyAlignment="1" applyProtection="1">
      <alignment vertical="center"/>
      <protection locked="0"/>
    </xf>
    <xf numFmtId="44" fontId="0" fillId="33" borderId="0" xfId="0" applyNumberFormat="1" applyFont="1" applyFill="1" applyBorder="1" applyAlignment="1" applyProtection="1">
      <alignment vertical="center"/>
      <protection/>
    </xf>
    <xf numFmtId="0" fontId="76" fillId="33" borderId="14" xfId="0" applyFont="1" applyFill="1" applyBorder="1" applyAlignment="1" applyProtection="1">
      <alignment vertical="center"/>
      <protection/>
    </xf>
    <xf numFmtId="0" fontId="74" fillId="33" borderId="14" xfId="0" applyFont="1" applyFill="1" applyBorder="1" applyAlignment="1" applyProtection="1">
      <alignment vertical="center"/>
      <protection/>
    </xf>
    <xf numFmtId="0" fontId="0" fillId="33" borderId="23" xfId="0" applyFont="1" applyFill="1" applyBorder="1" applyAlignment="1" applyProtection="1">
      <alignment horizontal="left" vertical="center"/>
      <protection/>
    </xf>
    <xf numFmtId="44" fontId="65" fillId="33" borderId="24" xfId="0" applyNumberFormat="1" applyFont="1" applyFill="1" applyBorder="1" applyAlignment="1" applyProtection="1">
      <alignment horizontal="right" vertical="center"/>
      <protection/>
    </xf>
    <xf numFmtId="44" fontId="65" fillId="33" borderId="32" xfId="0" applyNumberFormat="1" applyFont="1" applyFill="1" applyBorder="1" applyAlignment="1" applyProtection="1">
      <alignment horizontal="right" vertical="center"/>
      <protection/>
    </xf>
    <xf numFmtId="165" fontId="0" fillId="33" borderId="12" xfId="44" applyNumberFormat="1" applyFont="1" applyFill="1" applyBorder="1" applyAlignment="1" applyProtection="1">
      <alignment vertical="center"/>
      <protection/>
    </xf>
    <xf numFmtId="44" fontId="0" fillId="33" borderId="18" xfId="0" applyNumberFormat="1" applyFont="1" applyFill="1" applyBorder="1" applyAlignment="1" applyProtection="1">
      <alignment vertical="center"/>
      <protection/>
    </xf>
    <xf numFmtId="44" fontId="65" fillId="33" borderId="33" xfId="0" applyNumberFormat="1" applyFont="1" applyFill="1" applyBorder="1" applyAlignment="1" applyProtection="1">
      <alignment horizontal="right" vertical="center"/>
      <protection/>
    </xf>
    <xf numFmtId="44" fontId="0" fillId="33" borderId="12" xfId="0" applyNumberFormat="1" applyFont="1" applyFill="1" applyBorder="1" applyAlignment="1" applyProtection="1">
      <alignment vertical="center"/>
      <protection/>
    </xf>
    <xf numFmtId="0" fontId="65" fillId="33" borderId="10" xfId="0" applyFont="1" applyFill="1" applyBorder="1" applyAlignment="1" applyProtection="1">
      <alignment vertical="center"/>
      <protection/>
    </xf>
    <xf numFmtId="165" fontId="0" fillId="33" borderId="10" xfId="44" applyNumberFormat="1" applyFont="1" applyFill="1" applyBorder="1" applyAlignment="1" applyProtection="1">
      <alignment vertical="center"/>
      <protection/>
    </xf>
    <xf numFmtId="43" fontId="6" fillId="33" borderId="23" xfId="0" applyNumberFormat="1" applyFont="1" applyFill="1" applyBorder="1" applyAlignment="1" applyProtection="1">
      <alignment horizontal="left" vertical="center"/>
      <protection/>
    </xf>
    <xf numFmtId="0" fontId="0" fillId="0" borderId="0" xfId="0" applyFont="1" applyFill="1" applyBorder="1" applyAlignment="1" applyProtection="1">
      <alignment vertical="center" wrapText="1"/>
      <protection/>
    </xf>
    <xf numFmtId="0" fontId="76" fillId="33" borderId="15" xfId="0" applyFont="1" applyFill="1" applyBorder="1" applyAlignment="1" applyProtection="1">
      <alignment vertical="center"/>
      <protection/>
    </xf>
    <xf numFmtId="44" fontId="65" fillId="33" borderId="0" xfId="0" applyNumberFormat="1" applyFont="1" applyFill="1" applyBorder="1" applyAlignment="1" applyProtection="1">
      <alignment vertical="center"/>
      <protection/>
    </xf>
    <xf numFmtId="0" fontId="65" fillId="33" borderId="14" xfId="0" applyFont="1" applyFill="1" applyBorder="1" applyAlignment="1" applyProtection="1">
      <alignment vertical="center"/>
      <protection/>
    </xf>
    <xf numFmtId="0" fontId="0" fillId="0" borderId="0" xfId="0" applyFont="1" applyFill="1" applyAlignment="1" applyProtection="1">
      <alignment horizontal="center" vertical="center" wrapText="1"/>
      <protection/>
    </xf>
    <xf numFmtId="44" fontId="65" fillId="33" borderId="24" xfId="44" applyNumberFormat="1" applyFont="1" applyFill="1" applyBorder="1" applyAlignment="1" applyProtection="1">
      <alignment vertical="center"/>
      <protection/>
    </xf>
    <xf numFmtId="49" fontId="76" fillId="33" borderId="14" xfId="0" applyNumberFormat="1" applyFont="1" applyFill="1" applyBorder="1" applyAlignment="1" applyProtection="1">
      <alignment horizontal="center" vertical="center" wrapText="1"/>
      <protection/>
    </xf>
    <xf numFmtId="0" fontId="0" fillId="33" borderId="0" xfId="0" applyFont="1" applyFill="1" applyBorder="1" applyAlignment="1" applyProtection="1">
      <alignment horizontal="center" vertical="center"/>
      <protection/>
    </xf>
    <xf numFmtId="0" fontId="0" fillId="33" borderId="12" xfId="0" applyFont="1" applyFill="1" applyBorder="1" applyAlignment="1" applyProtection="1">
      <alignment horizontal="center" vertical="center"/>
      <protection/>
    </xf>
    <xf numFmtId="43" fontId="6" fillId="33" borderId="23" xfId="0" applyNumberFormat="1" applyFont="1" applyFill="1" applyBorder="1" applyAlignment="1" applyProtection="1">
      <alignment horizontal="left" vertical="center" wrapText="1"/>
      <protection/>
    </xf>
    <xf numFmtId="44" fontId="0" fillId="33" borderId="10" xfId="0" applyNumberFormat="1" applyFont="1" applyFill="1" applyBorder="1" applyAlignment="1" applyProtection="1">
      <alignment vertical="center"/>
      <protection/>
    </xf>
    <xf numFmtId="0" fontId="77" fillId="0" borderId="0" xfId="0" applyFont="1" applyFill="1" applyAlignment="1" applyProtection="1">
      <alignment vertical="center" wrapText="1"/>
      <protection/>
    </xf>
    <xf numFmtId="0" fontId="78" fillId="33" borderId="14" xfId="0" applyFont="1" applyFill="1" applyBorder="1" applyAlignment="1" applyProtection="1">
      <alignment vertical="center" wrapText="1"/>
      <protection/>
    </xf>
    <xf numFmtId="0" fontId="0" fillId="33" borderId="14" xfId="0" applyFont="1" applyFill="1" applyBorder="1" applyAlignment="1" applyProtection="1">
      <alignment vertical="center" wrapText="1"/>
      <protection/>
    </xf>
    <xf numFmtId="44" fontId="65" fillId="33" borderId="12" xfId="0" applyNumberFormat="1" applyFont="1" applyFill="1" applyBorder="1" applyAlignment="1" applyProtection="1">
      <alignment vertical="center"/>
      <protection/>
    </xf>
    <xf numFmtId="0" fontId="65" fillId="33" borderId="12" xfId="0" applyFont="1" applyFill="1" applyBorder="1" applyAlignment="1" applyProtection="1">
      <alignment vertical="center"/>
      <protection/>
    </xf>
    <xf numFmtId="165" fontId="65" fillId="33" borderId="12" xfId="44" applyNumberFormat="1" applyFont="1" applyFill="1" applyBorder="1" applyAlignment="1" applyProtection="1">
      <alignment vertical="center"/>
      <protection/>
    </xf>
    <xf numFmtId="0" fontId="65" fillId="33" borderId="10" xfId="0" applyFont="1" applyFill="1" applyBorder="1" applyAlignment="1" applyProtection="1">
      <alignment vertical="center" wrapText="1"/>
      <protection/>
    </xf>
    <xf numFmtId="0" fontId="0" fillId="33" borderId="10" xfId="0" applyFont="1" applyFill="1" applyBorder="1" applyAlignment="1" applyProtection="1">
      <alignment vertical="center" wrapText="1"/>
      <protection/>
    </xf>
    <xf numFmtId="44" fontId="0" fillId="0" borderId="0" xfId="0" applyNumberFormat="1" applyFont="1" applyFill="1" applyAlignment="1" applyProtection="1">
      <alignment vertical="center" wrapText="1"/>
      <protection/>
    </xf>
    <xf numFmtId="165" fontId="65" fillId="33" borderId="10" xfId="44" applyNumberFormat="1" applyFont="1" applyFill="1" applyBorder="1" applyAlignment="1" applyProtection="1">
      <alignment vertical="center"/>
      <protection/>
    </xf>
    <xf numFmtId="0" fontId="65" fillId="33" borderId="31" xfId="0" applyFont="1" applyFill="1" applyBorder="1" applyAlignment="1" applyProtection="1">
      <alignment horizontal="center" vertical="center"/>
      <protection/>
    </xf>
    <xf numFmtId="49" fontId="65" fillId="33" borderId="10" xfId="0" applyNumberFormat="1" applyFont="1" applyFill="1" applyBorder="1" applyAlignment="1" applyProtection="1">
      <alignment horizontal="right" vertical="center"/>
      <protection/>
    </xf>
    <xf numFmtId="0" fontId="76" fillId="33" borderId="10" xfId="0" applyFont="1" applyFill="1" applyBorder="1" applyAlignment="1" applyProtection="1">
      <alignment vertical="center"/>
      <protection/>
    </xf>
    <xf numFmtId="0" fontId="0" fillId="0" borderId="0" xfId="0" applyFont="1" applyAlignment="1" applyProtection="1">
      <alignment/>
      <protection/>
    </xf>
    <xf numFmtId="0" fontId="0" fillId="33" borderId="22" xfId="0" applyFont="1" applyFill="1" applyBorder="1" applyAlignment="1" applyProtection="1">
      <alignment/>
      <protection/>
    </xf>
    <xf numFmtId="0" fontId="0" fillId="33" borderId="0" xfId="0" applyFont="1" applyFill="1" applyBorder="1" applyAlignment="1" applyProtection="1">
      <alignment/>
      <protection/>
    </xf>
    <xf numFmtId="0" fontId="0" fillId="33" borderId="23" xfId="0" applyFont="1" applyFill="1" applyBorder="1" applyAlignment="1" applyProtection="1">
      <alignment/>
      <protection/>
    </xf>
    <xf numFmtId="0" fontId="0" fillId="0" borderId="22" xfId="0"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left" vertical="center"/>
      <protection/>
    </xf>
    <xf numFmtId="0" fontId="0" fillId="33" borderId="25" xfId="0" applyFont="1" applyFill="1" applyBorder="1" applyAlignment="1" applyProtection="1">
      <alignment vertical="center"/>
      <protection/>
    </xf>
    <xf numFmtId="0" fontId="65" fillId="33" borderId="26" xfId="0" applyFont="1" applyFill="1" applyBorder="1" applyAlignment="1" applyProtection="1">
      <alignment horizontal="center" vertical="center"/>
      <protection/>
    </xf>
    <xf numFmtId="49" fontId="0" fillId="33" borderId="26" xfId="0" applyNumberFormat="1" applyFont="1" applyFill="1" applyBorder="1" applyAlignment="1" applyProtection="1">
      <alignment vertical="center"/>
      <protection/>
    </xf>
    <xf numFmtId="0" fontId="0" fillId="33" borderId="26" xfId="0" applyFont="1" applyFill="1" applyBorder="1" applyAlignment="1" applyProtection="1">
      <alignment vertical="center"/>
      <protection/>
    </xf>
    <xf numFmtId="165" fontId="0" fillId="33" borderId="26" xfId="44" applyNumberFormat="1" applyFont="1" applyFill="1" applyBorder="1" applyAlignment="1" applyProtection="1">
      <alignment vertical="center"/>
      <protection/>
    </xf>
    <xf numFmtId="0" fontId="74" fillId="33" borderId="26" xfId="0" applyFont="1" applyFill="1" applyBorder="1" applyAlignment="1" applyProtection="1">
      <alignment vertical="center"/>
      <protection/>
    </xf>
    <xf numFmtId="0" fontId="0" fillId="33" borderId="27" xfId="0" applyFont="1" applyFill="1" applyBorder="1" applyAlignment="1" applyProtection="1">
      <alignment vertical="center"/>
      <protection/>
    </xf>
    <xf numFmtId="0" fontId="76" fillId="33" borderId="0" xfId="0" applyFont="1" applyFill="1" applyBorder="1" applyAlignment="1" applyProtection="1">
      <alignment vertical="center" wrapText="1"/>
      <protection/>
    </xf>
    <xf numFmtId="0" fontId="0" fillId="33" borderId="14" xfId="0" applyFont="1" applyFill="1" applyBorder="1" applyAlignment="1" applyProtection="1">
      <alignment horizontal="center" vertical="center"/>
      <protection/>
    </xf>
    <xf numFmtId="0" fontId="76" fillId="33" borderId="0" xfId="0" applyFont="1" applyFill="1" applyBorder="1" applyAlignment="1" applyProtection="1">
      <alignment vertical="center"/>
      <protection/>
    </xf>
    <xf numFmtId="0" fontId="76" fillId="0" borderId="0" xfId="0" applyFont="1" applyBorder="1" applyAlignment="1">
      <alignment vertical="center"/>
    </xf>
    <xf numFmtId="165" fontId="65" fillId="33" borderId="0" xfId="44" applyNumberFormat="1" applyFont="1" applyFill="1" applyBorder="1" applyAlignment="1" applyProtection="1">
      <alignment vertical="center"/>
      <protection/>
    </xf>
    <xf numFmtId="0" fontId="0" fillId="33" borderId="0" xfId="0" applyFill="1" applyBorder="1" applyAlignment="1">
      <alignment vertical="center" wrapText="1"/>
    </xf>
    <xf numFmtId="0" fontId="0" fillId="33" borderId="23" xfId="0" applyFill="1" applyBorder="1" applyAlignment="1">
      <alignment vertical="center" wrapText="1"/>
    </xf>
    <xf numFmtId="49" fontId="0" fillId="33" borderId="0" xfId="0" applyNumberFormat="1" applyFont="1" applyFill="1" applyBorder="1" applyAlignment="1" applyProtection="1">
      <alignment horizontal="left" vertical="center" wrapText="1"/>
      <protection/>
    </xf>
    <xf numFmtId="0" fontId="0" fillId="33" borderId="0" xfId="0" applyFont="1" applyFill="1" applyBorder="1" applyAlignment="1" applyProtection="1">
      <alignment horizontal="left" vertical="center" wrapText="1"/>
      <protection/>
    </xf>
    <xf numFmtId="44" fontId="0" fillId="33" borderId="29" xfId="44" applyNumberFormat="1" applyFont="1" applyFill="1" applyBorder="1" applyAlignment="1" applyProtection="1">
      <alignment vertical="center"/>
      <protection/>
    </xf>
    <xf numFmtId="44" fontId="65" fillId="33" borderId="29" xfId="0" applyNumberFormat="1" applyFont="1" applyFill="1" applyBorder="1" applyAlignment="1" applyProtection="1">
      <alignment horizontal="right" vertical="center"/>
      <protection/>
    </xf>
    <xf numFmtId="44" fontId="65" fillId="33" borderId="29" xfId="44" applyNumberFormat="1" applyFont="1" applyFill="1" applyBorder="1" applyAlignment="1" applyProtection="1">
      <alignment vertical="center"/>
      <protection/>
    </xf>
    <xf numFmtId="44" fontId="65" fillId="33" borderId="0" xfId="44" applyNumberFormat="1" applyFont="1" applyFill="1" applyBorder="1" applyAlignment="1" applyProtection="1">
      <alignment vertical="center"/>
      <protection/>
    </xf>
    <xf numFmtId="44" fontId="65" fillId="33" borderId="0" xfId="0" applyNumberFormat="1" applyFont="1" applyFill="1" applyBorder="1" applyAlignment="1" applyProtection="1">
      <alignment horizontal="right" vertical="center"/>
      <protection/>
    </xf>
    <xf numFmtId="0" fontId="7" fillId="33" borderId="17" xfId="0" applyFont="1" applyFill="1" applyBorder="1" applyAlignment="1" applyProtection="1">
      <alignment horizontal="center" vertical="center"/>
      <protection/>
    </xf>
    <xf numFmtId="0" fontId="0" fillId="33" borderId="17" xfId="0" applyFont="1" applyFill="1" applyBorder="1" applyAlignment="1" applyProtection="1">
      <alignment vertical="center"/>
      <protection/>
    </xf>
    <xf numFmtId="44" fontId="0" fillId="33" borderId="29" xfId="44" applyNumberFormat="1" applyFont="1" applyFill="1" applyBorder="1" applyAlignment="1" applyProtection="1">
      <alignment vertical="center"/>
      <protection locked="0"/>
    </xf>
    <xf numFmtId="0" fontId="6" fillId="33" borderId="0" xfId="0" applyFont="1" applyFill="1" applyBorder="1" applyAlignment="1" applyProtection="1">
      <alignment horizontal="center" vertical="center" wrapText="1"/>
      <protection/>
    </xf>
    <xf numFmtId="0" fontId="76" fillId="33" borderId="0" xfId="0" applyFont="1" applyFill="1" applyBorder="1" applyAlignment="1" applyProtection="1">
      <alignment vertical="center" wrapText="1"/>
      <protection locked="0"/>
    </xf>
    <xf numFmtId="44" fontId="0" fillId="33" borderId="0" xfId="44" applyNumberFormat="1" applyFont="1" applyFill="1" applyBorder="1" applyAlignment="1" applyProtection="1">
      <alignment vertical="center"/>
      <protection locked="0"/>
    </xf>
    <xf numFmtId="0" fontId="6" fillId="33" borderId="10" xfId="0" applyFont="1" applyFill="1" applyBorder="1" applyAlignment="1" applyProtection="1">
      <alignment horizontal="center" vertical="center" wrapText="1"/>
      <protection/>
    </xf>
    <xf numFmtId="0" fontId="6" fillId="33" borderId="10" xfId="0" applyFont="1" applyFill="1" applyBorder="1" applyAlignment="1" applyProtection="1">
      <alignment horizontal="center" vertical="center"/>
      <protection/>
    </xf>
    <xf numFmtId="0" fontId="0" fillId="33" borderId="10" xfId="0" applyFont="1" applyFill="1" applyBorder="1" applyAlignment="1" applyProtection="1">
      <alignment horizontal="center" vertical="center"/>
      <protection/>
    </xf>
    <xf numFmtId="0" fontId="0" fillId="33" borderId="10" xfId="0" applyFont="1" applyFill="1" applyBorder="1" applyAlignment="1" applyProtection="1">
      <alignment horizontal="center" vertical="center" wrapText="1"/>
      <protection/>
    </xf>
    <xf numFmtId="0" fontId="0" fillId="33" borderId="14" xfId="0" applyFont="1" applyFill="1" applyBorder="1" applyAlignment="1" applyProtection="1">
      <alignment vertical="center"/>
      <protection/>
    </xf>
    <xf numFmtId="0" fontId="0" fillId="33" borderId="0" xfId="0" applyFont="1" applyFill="1" applyBorder="1" applyAlignment="1">
      <alignment vertical="center"/>
    </xf>
    <xf numFmtId="0" fontId="52" fillId="33" borderId="0" xfId="0" applyFont="1" applyFill="1" applyBorder="1" applyAlignment="1" applyProtection="1">
      <alignment horizontal="center" vertical="center"/>
      <protection/>
    </xf>
    <xf numFmtId="0" fontId="0" fillId="33" borderId="0" xfId="0" applyFill="1" applyBorder="1" applyAlignment="1">
      <alignment vertical="center"/>
    </xf>
    <xf numFmtId="44" fontId="65" fillId="33" borderId="10" xfId="0" applyNumberFormat="1" applyFont="1" applyFill="1" applyBorder="1" applyAlignment="1" applyProtection="1">
      <alignment vertical="center"/>
      <protection/>
    </xf>
    <xf numFmtId="0" fontId="52" fillId="33" borderId="14" xfId="0" applyFont="1" applyFill="1" applyBorder="1" applyAlignment="1" applyProtection="1">
      <alignment horizontal="center" vertical="center"/>
      <protection/>
    </xf>
    <xf numFmtId="49" fontId="0" fillId="33" borderId="36" xfId="0" applyNumberFormat="1" applyFont="1" applyFill="1" applyBorder="1" applyAlignment="1" applyProtection="1">
      <alignment vertical="center"/>
      <protection/>
    </xf>
    <xf numFmtId="0" fontId="0" fillId="33" borderId="37" xfId="0" applyFont="1" applyFill="1" applyBorder="1" applyAlignment="1" applyProtection="1">
      <alignment vertical="center"/>
      <protection/>
    </xf>
    <xf numFmtId="49" fontId="65" fillId="33" borderId="36" xfId="0" applyNumberFormat="1" applyFont="1" applyFill="1" applyBorder="1" applyAlignment="1" applyProtection="1">
      <alignment vertical="center"/>
      <protection/>
    </xf>
    <xf numFmtId="0" fontId="65" fillId="33" borderId="37" xfId="0" applyFont="1" applyFill="1" applyBorder="1" applyAlignment="1" applyProtection="1">
      <alignment vertical="center"/>
      <protection/>
    </xf>
    <xf numFmtId="49" fontId="0" fillId="33" borderId="38" xfId="0" applyNumberFormat="1" applyFont="1" applyFill="1" applyBorder="1" applyAlignment="1" applyProtection="1">
      <alignment vertical="center"/>
      <protection/>
    </xf>
    <xf numFmtId="0" fontId="0" fillId="33" borderId="39" xfId="0" applyFont="1" applyFill="1" applyBorder="1" applyAlignment="1" applyProtection="1">
      <alignment vertical="center"/>
      <protection/>
    </xf>
    <xf numFmtId="0" fontId="0" fillId="33" borderId="40" xfId="0" applyFont="1" applyFill="1" applyBorder="1" applyAlignment="1" applyProtection="1">
      <alignment vertical="center"/>
      <protection/>
    </xf>
    <xf numFmtId="0" fontId="0" fillId="33" borderId="41" xfId="0" applyFont="1" applyFill="1" applyBorder="1" applyAlignment="1" applyProtection="1">
      <alignment vertical="center"/>
      <protection/>
    </xf>
    <xf numFmtId="0" fontId="0" fillId="33" borderId="40" xfId="0" applyFont="1" applyFill="1" applyBorder="1" applyAlignment="1" applyProtection="1">
      <alignment horizontal="center" vertical="center"/>
      <protection/>
    </xf>
    <xf numFmtId="0" fontId="0" fillId="33" borderId="41" xfId="0" applyFont="1" applyFill="1" applyBorder="1" applyAlignment="1" applyProtection="1">
      <alignment horizontal="center" vertical="center"/>
      <protection/>
    </xf>
    <xf numFmtId="0" fontId="79" fillId="33" borderId="0" xfId="0" applyFont="1" applyFill="1" applyBorder="1" applyAlignment="1" applyProtection="1">
      <alignment vertical="top"/>
      <protection/>
    </xf>
    <xf numFmtId="0" fontId="0" fillId="0" borderId="0" xfId="0" applyFill="1" applyAlignment="1">
      <alignment vertical="center" wrapText="1"/>
    </xf>
    <xf numFmtId="0" fontId="76" fillId="33" borderId="0" xfId="59" applyFont="1" applyFill="1" applyBorder="1" applyProtection="1">
      <alignment/>
      <protection/>
    </xf>
    <xf numFmtId="0" fontId="65" fillId="33" borderId="0" xfId="0" applyFont="1" applyFill="1" applyBorder="1" applyAlignment="1" applyProtection="1">
      <alignment/>
      <protection/>
    </xf>
    <xf numFmtId="44" fontId="6" fillId="33" borderId="18" xfId="0" applyNumberFormat="1" applyFont="1" applyFill="1" applyBorder="1" applyAlignment="1" applyProtection="1">
      <alignment horizontal="center" vertical="center"/>
      <protection/>
    </xf>
    <xf numFmtId="1" fontId="6" fillId="33" borderId="31" xfId="0" applyNumberFormat="1" applyFont="1" applyFill="1" applyBorder="1" applyAlignment="1" applyProtection="1">
      <alignment horizontal="center" vertical="center"/>
      <protection/>
    </xf>
    <xf numFmtId="168" fontId="6" fillId="33" borderId="12" xfId="0" applyNumberFormat="1" applyFont="1" applyFill="1" applyBorder="1" applyAlignment="1" applyProtection="1">
      <alignment horizontal="center" vertical="center"/>
      <protection/>
    </xf>
    <xf numFmtId="0" fontId="6" fillId="33" borderId="31" xfId="0" applyFont="1" applyFill="1" applyBorder="1" applyAlignment="1" applyProtection="1">
      <alignment horizontal="center" vertical="center"/>
      <protection/>
    </xf>
    <xf numFmtId="44" fontId="6" fillId="33" borderId="15" xfId="0" applyNumberFormat="1" applyFont="1" applyFill="1" applyBorder="1" applyAlignment="1" applyProtection="1">
      <alignment horizontal="center" vertical="center"/>
      <protection/>
    </xf>
    <xf numFmtId="0" fontId="80" fillId="33" borderId="0" xfId="0" applyFont="1" applyFill="1" applyAlignment="1" applyProtection="1">
      <alignment horizontal="center" vertical="center"/>
      <protection/>
    </xf>
    <xf numFmtId="0" fontId="0" fillId="33" borderId="0" xfId="0" applyFont="1" applyFill="1" applyAlignment="1" applyProtection="1">
      <alignment horizontal="center" vertical="center"/>
      <protection/>
    </xf>
    <xf numFmtId="0" fontId="65" fillId="33" borderId="0" xfId="0" applyFont="1" applyFill="1" applyBorder="1" applyAlignment="1" applyProtection="1">
      <alignment horizontal="center" vertical="center"/>
      <protection/>
    </xf>
    <xf numFmtId="0" fontId="0" fillId="33" borderId="0" xfId="0" applyFill="1" applyBorder="1" applyAlignment="1">
      <alignment vertical="center" wrapText="1"/>
    </xf>
    <xf numFmtId="0" fontId="7" fillId="0" borderId="0" xfId="0" applyFont="1" applyFill="1" applyBorder="1" applyAlignment="1" applyProtection="1">
      <alignment horizontal="center" vertical="center"/>
      <protection/>
    </xf>
    <xf numFmtId="0" fontId="43" fillId="33" borderId="0" xfId="59" applyFont="1" applyFill="1" applyBorder="1" applyAlignment="1" applyProtection="1">
      <alignment horizontal="right" vertical="center"/>
      <protection/>
    </xf>
    <xf numFmtId="0" fontId="43" fillId="33" borderId="0" xfId="59" applyFont="1" applyFill="1" applyAlignment="1" applyProtection="1">
      <alignment horizontal="right"/>
      <protection/>
    </xf>
    <xf numFmtId="0" fontId="9" fillId="33" borderId="0" xfId="59" applyFont="1" applyFill="1" applyBorder="1" applyAlignment="1" applyProtection="1">
      <alignment horizontal="center" vertical="center"/>
      <protection/>
    </xf>
    <xf numFmtId="0" fontId="7" fillId="33" borderId="10" xfId="59" applyFont="1" applyFill="1" applyBorder="1" applyAlignment="1" applyProtection="1">
      <alignment horizontal="center" vertical="center"/>
      <protection/>
    </xf>
    <xf numFmtId="0" fontId="0" fillId="33" borderId="12" xfId="0" applyFill="1" applyBorder="1" applyAlignment="1">
      <alignment vertical="center" wrapText="1"/>
    </xf>
    <xf numFmtId="0" fontId="0" fillId="33" borderId="12" xfId="0" applyFill="1" applyBorder="1" applyAlignment="1" applyProtection="1">
      <alignment vertical="center" wrapText="1"/>
      <protection locked="0"/>
    </xf>
    <xf numFmtId="0" fontId="0" fillId="33" borderId="0" xfId="0" applyFill="1" applyBorder="1" applyAlignment="1" applyProtection="1">
      <alignment vertical="center" wrapText="1"/>
      <protection locked="0"/>
    </xf>
    <xf numFmtId="0" fontId="65" fillId="0" borderId="0" xfId="0" applyFont="1" applyAlignment="1" applyProtection="1">
      <alignment horizontal="center" vertical="center"/>
      <protection/>
    </xf>
    <xf numFmtId="0" fontId="65" fillId="33" borderId="0" xfId="0" applyFont="1" applyFill="1" applyAlignment="1" applyProtection="1">
      <alignment horizontal="center" vertical="center"/>
      <protection/>
    </xf>
    <xf numFmtId="0" fontId="0" fillId="33" borderId="0" xfId="0" applyFill="1" applyBorder="1" applyAlignment="1" applyProtection="1">
      <alignment/>
      <protection/>
    </xf>
    <xf numFmtId="0" fontId="65" fillId="33" borderId="0" xfId="0" applyFont="1" applyFill="1" applyBorder="1" applyAlignment="1" applyProtection="1">
      <alignment/>
      <protection/>
    </xf>
    <xf numFmtId="0" fontId="0" fillId="33" borderId="0" xfId="0" applyFill="1" applyAlignment="1" applyProtection="1">
      <alignment/>
      <protection/>
    </xf>
    <xf numFmtId="0" fontId="65" fillId="33" borderId="0" xfId="0" applyFont="1" applyFill="1" applyAlignment="1" applyProtection="1">
      <alignment/>
      <protection/>
    </xf>
    <xf numFmtId="0" fontId="79" fillId="33" borderId="0" xfId="0" applyFont="1" applyFill="1" applyBorder="1" applyAlignment="1" applyProtection="1">
      <alignment horizontal="center" vertical="center"/>
      <protection/>
    </xf>
    <xf numFmtId="0" fontId="6" fillId="33" borderId="29" xfId="59" applyFont="1" applyFill="1" applyBorder="1" applyAlignment="1" applyProtection="1">
      <alignment horizontal="center" vertical="center"/>
      <protection/>
    </xf>
    <xf numFmtId="0" fontId="6" fillId="33" borderId="12" xfId="59" applyFont="1" applyFill="1" applyBorder="1" applyAlignment="1" applyProtection="1">
      <alignment horizontal="center" vertical="center"/>
      <protection/>
    </xf>
    <xf numFmtId="9" fontId="6" fillId="33" borderId="29" xfId="59" applyNumberFormat="1" applyFont="1" applyFill="1" applyBorder="1" applyAlignment="1" applyProtection="1">
      <alignment horizontal="center" vertical="center"/>
      <protection/>
    </xf>
    <xf numFmtId="0" fontId="69" fillId="33" borderId="0" xfId="0" applyFont="1" applyFill="1" applyBorder="1" applyAlignment="1" applyProtection="1">
      <alignment horizontal="center"/>
      <protection/>
    </xf>
    <xf numFmtId="0" fontId="0" fillId="33" borderId="0" xfId="0" applyFont="1" applyFill="1" applyBorder="1" applyAlignment="1" applyProtection="1">
      <alignment horizontal="left" vertical="center" indent="1"/>
      <protection/>
    </xf>
    <xf numFmtId="0" fontId="67" fillId="0" borderId="0" xfId="0" applyFont="1" applyAlignment="1">
      <alignment horizontal="center" vertical="center"/>
    </xf>
    <xf numFmtId="0" fontId="43" fillId="33" borderId="28" xfId="0" applyFont="1" applyFill="1" applyBorder="1" applyAlignment="1">
      <alignment/>
    </xf>
    <xf numFmtId="49" fontId="67" fillId="33" borderId="12" xfId="0" applyNumberFormat="1" applyFont="1" applyFill="1" applyBorder="1" applyAlignment="1">
      <alignment/>
    </xf>
    <xf numFmtId="0" fontId="43" fillId="33" borderId="29" xfId="0" applyFont="1" applyFill="1" applyBorder="1" applyAlignment="1">
      <alignment/>
    </xf>
    <xf numFmtId="49" fontId="67" fillId="33" borderId="0" xfId="0" applyNumberFormat="1" applyFont="1" applyFill="1" applyAlignment="1">
      <alignment/>
    </xf>
    <xf numFmtId="0" fontId="67" fillId="33" borderId="0" xfId="0" applyFont="1" applyFill="1" applyAlignment="1">
      <alignment horizontal="center" vertical="center"/>
    </xf>
    <xf numFmtId="0" fontId="67" fillId="33" borderId="0" xfId="0" applyFont="1" applyFill="1" applyAlignment="1">
      <alignment/>
    </xf>
    <xf numFmtId="0" fontId="43" fillId="33" borderId="31" xfId="0" applyFont="1" applyFill="1" applyBorder="1" applyAlignment="1">
      <alignment/>
    </xf>
    <xf numFmtId="49" fontId="67" fillId="33" borderId="10" xfId="0" applyNumberFormat="1" applyFont="1" applyFill="1" applyBorder="1" applyAlignment="1">
      <alignment/>
    </xf>
    <xf numFmtId="0" fontId="81" fillId="0" borderId="0" xfId="0" applyFont="1" applyAlignment="1">
      <alignment vertical="center"/>
    </xf>
    <xf numFmtId="0" fontId="82" fillId="0" borderId="0" xfId="0" applyFont="1" applyAlignment="1">
      <alignment horizontal="left" vertical="top"/>
    </xf>
    <xf numFmtId="0" fontId="45" fillId="0" borderId="0" xfId="0" applyFont="1" applyAlignment="1">
      <alignment horizontal="center" vertical="center"/>
    </xf>
    <xf numFmtId="0" fontId="68" fillId="35" borderId="0" xfId="0" applyFont="1" applyFill="1" applyAlignment="1">
      <alignment horizontal="center" vertical="center"/>
    </xf>
    <xf numFmtId="0" fontId="68" fillId="35" borderId="0" xfId="0" applyFont="1" applyFill="1" applyAlignment="1">
      <alignment horizontal="center" vertical="center" wrapText="1"/>
    </xf>
    <xf numFmtId="0" fontId="82" fillId="0" borderId="0" xfId="0" applyFont="1" applyAlignment="1">
      <alignment horizontal="center" vertical="top"/>
    </xf>
    <xf numFmtId="178" fontId="82" fillId="0" borderId="0" xfId="0" applyNumberFormat="1" applyFont="1" applyAlignment="1">
      <alignment horizontal="center" vertical="top"/>
    </xf>
    <xf numFmtId="44" fontId="45" fillId="0" borderId="0" xfId="59" applyNumberFormat="1" applyFont="1" applyAlignment="1">
      <alignment horizontal="center" vertical="center"/>
      <protection/>
    </xf>
    <xf numFmtId="0" fontId="45" fillId="0" borderId="0" xfId="0" applyFont="1" applyAlignment="1">
      <alignment vertical="center"/>
    </xf>
    <xf numFmtId="176" fontId="67" fillId="34" borderId="0" xfId="0" applyNumberFormat="1" applyFont="1" applyFill="1" applyAlignment="1">
      <alignment horizontal="center" vertical="center"/>
    </xf>
    <xf numFmtId="2" fontId="67" fillId="34" borderId="0" xfId="0" applyNumberFormat="1" applyFont="1" applyFill="1" applyAlignment="1">
      <alignment horizontal="center" vertical="center"/>
    </xf>
    <xf numFmtId="1" fontId="43" fillId="33" borderId="24" xfId="59" applyNumberFormat="1" applyFont="1" applyFill="1" applyBorder="1" applyAlignment="1">
      <alignment horizontal="center" vertical="center"/>
      <protection/>
    </xf>
    <xf numFmtId="1" fontId="43" fillId="33" borderId="18" xfId="59" applyNumberFormat="1" applyFont="1" applyFill="1" applyBorder="1" applyAlignment="1">
      <alignment horizontal="center" vertical="center"/>
      <protection/>
    </xf>
    <xf numFmtId="1" fontId="43" fillId="33" borderId="33" xfId="59" applyNumberFormat="1" applyFont="1" applyFill="1" applyBorder="1" applyAlignment="1">
      <alignment horizontal="center" vertical="center"/>
      <protection/>
    </xf>
    <xf numFmtId="0" fontId="67" fillId="0" borderId="0" xfId="0" applyFont="1" applyAlignment="1" quotePrefix="1">
      <alignment vertical="center"/>
    </xf>
    <xf numFmtId="0" fontId="45" fillId="0" borderId="0" xfId="0" applyFont="1" applyAlignment="1">
      <alignment horizontal="left" vertical="top" wrapText="1"/>
    </xf>
    <xf numFmtId="177" fontId="82" fillId="0" borderId="0" xfId="0" applyNumberFormat="1" applyFont="1" applyAlignment="1">
      <alignment horizontal="center" vertical="center" wrapText="1"/>
    </xf>
    <xf numFmtId="2" fontId="45" fillId="0" borderId="0" xfId="0" applyNumberFormat="1" applyFont="1" applyAlignment="1">
      <alignment horizontal="center" vertical="center"/>
    </xf>
    <xf numFmtId="1" fontId="45" fillId="33" borderId="17" xfId="59" applyNumberFormat="1" applyFont="1" applyFill="1" applyBorder="1" applyAlignment="1">
      <alignment horizontal="left" vertical="center"/>
      <protection/>
    </xf>
    <xf numFmtId="44" fontId="45" fillId="33" borderId="0" xfId="59" applyNumberFormat="1" applyFont="1" applyFill="1" applyAlignment="1">
      <alignment horizontal="center" vertical="center"/>
      <protection/>
    </xf>
    <xf numFmtId="44" fontId="45" fillId="33" borderId="34" xfId="59" applyNumberFormat="1" applyFont="1" applyFill="1" applyBorder="1" applyAlignment="1">
      <alignment horizontal="center" vertical="center"/>
      <protection/>
    </xf>
    <xf numFmtId="44" fontId="67" fillId="33" borderId="0" xfId="0" applyNumberFormat="1" applyFont="1" applyFill="1" applyAlignment="1">
      <alignment vertical="center"/>
    </xf>
    <xf numFmtId="44" fontId="67" fillId="33" borderId="0" xfId="0" applyNumberFormat="1" applyFont="1" applyFill="1" applyAlignment="1">
      <alignment horizontal="center" vertical="center"/>
    </xf>
    <xf numFmtId="44" fontId="67" fillId="33" borderId="17" xfId="0" applyNumberFormat="1" applyFont="1" applyFill="1" applyBorder="1" applyAlignment="1">
      <alignment horizontal="center" vertical="center"/>
    </xf>
    <xf numFmtId="0" fontId="67" fillId="33" borderId="29" xfId="0" applyFont="1" applyFill="1" applyBorder="1" applyAlignment="1">
      <alignment horizontal="left" vertical="center"/>
    </xf>
    <xf numFmtId="44" fontId="67" fillId="33" borderId="14" xfId="0" applyNumberFormat="1" applyFont="1" applyFill="1" applyBorder="1" applyAlignment="1">
      <alignment horizontal="center" vertical="center"/>
    </xf>
    <xf numFmtId="0" fontId="67" fillId="33" borderId="31" xfId="0" applyFont="1" applyFill="1" applyBorder="1" applyAlignment="1">
      <alignment horizontal="left" vertical="center"/>
    </xf>
    <xf numFmtId="44" fontId="67" fillId="33" borderId="30" xfId="0" applyNumberFormat="1" applyFont="1" applyFill="1" applyBorder="1" applyAlignment="1">
      <alignment horizontal="center" vertical="center"/>
    </xf>
    <xf numFmtId="44" fontId="67" fillId="33" borderId="15" xfId="0" applyNumberFormat="1" applyFont="1" applyFill="1" applyBorder="1" applyAlignment="1">
      <alignment horizontal="center" vertical="center"/>
    </xf>
    <xf numFmtId="0" fontId="45" fillId="0" borderId="0" xfId="0" applyFont="1" applyAlignment="1">
      <alignment horizontal="left" vertical="center" wrapText="1"/>
    </xf>
    <xf numFmtId="0" fontId="45" fillId="0" borderId="42" xfId="0" applyFont="1" applyBorder="1" applyAlignment="1">
      <alignment horizontal="left" vertical="center"/>
    </xf>
    <xf numFmtId="0" fontId="6" fillId="0" borderId="0" xfId="0" applyFont="1" applyAlignment="1" applyProtection="1">
      <alignment/>
      <protection locked="0"/>
    </xf>
    <xf numFmtId="0" fontId="3" fillId="33" borderId="0" xfId="59" applyFont="1" applyFill="1" applyBorder="1" applyAlignment="1" applyProtection="1">
      <alignment horizontal="center" vertical="center"/>
      <protection/>
    </xf>
    <xf numFmtId="0" fontId="80" fillId="33" borderId="0" xfId="0" applyFont="1" applyFill="1" applyAlignment="1" applyProtection="1">
      <alignment horizontal="center" vertical="center"/>
      <protection/>
    </xf>
    <xf numFmtId="0" fontId="6" fillId="0" borderId="0" xfId="0" applyFont="1" applyFill="1" applyBorder="1" applyAlignment="1" applyProtection="1">
      <alignment horizontal="left" vertical="center" wrapText="1"/>
      <protection/>
    </xf>
    <xf numFmtId="0" fontId="6" fillId="0" borderId="0" xfId="0" applyFont="1" applyFill="1" applyBorder="1" applyAlignment="1" applyProtection="1">
      <alignment horizontal="left" vertical="top" wrapText="1"/>
      <protection/>
    </xf>
    <xf numFmtId="0" fontId="9" fillId="33" borderId="12" xfId="59" applyFont="1" applyFill="1" applyBorder="1" applyAlignment="1" applyProtection="1">
      <alignment horizontal="center" vertical="center"/>
      <protection/>
    </xf>
    <xf numFmtId="0" fontId="79" fillId="0" borderId="12" xfId="0" applyFont="1" applyBorder="1" applyAlignment="1" applyProtection="1">
      <alignment horizontal="center" vertical="center"/>
      <protection/>
    </xf>
    <xf numFmtId="0" fontId="6" fillId="33" borderId="28" xfId="59" applyFont="1" applyFill="1" applyBorder="1" applyAlignment="1" applyProtection="1">
      <alignment horizontal="left" vertical="center" wrapText="1" indent="1"/>
      <protection/>
    </xf>
    <xf numFmtId="0" fontId="0" fillId="33" borderId="12" xfId="0" applyFill="1" applyBorder="1" applyAlignment="1" applyProtection="1">
      <alignment horizontal="left" vertical="center" wrapText="1" indent="1"/>
      <protection/>
    </xf>
    <xf numFmtId="0" fontId="0" fillId="33" borderId="13" xfId="0" applyFill="1" applyBorder="1" applyAlignment="1" applyProtection="1">
      <alignment horizontal="left" vertical="center" wrapText="1" indent="1"/>
      <protection/>
    </xf>
    <xf numFmtId="0" fontId="0" fillId="33" borderId="29" xfId="0" applyFill="1" applyBorder="1" applyAlignment="1" applyProtection="1">
      <alignment horizontal="left" vertical="center" wrapText="1" indent="1"/>
      <protection/>
    </xf>
    <xf numFmtId="0" fontId="0" fillId="33" borderId="0" xfId="0" applyFill="1" applyBorder="1" applyAlignment="1" applyProtection="1">
      <alignment horizontal="left" vertical="center" wrapText="1" indent="1"/>
      <protection/>
    </xf>
    <xf numFmtId="0" fontId="0" fillId="33" borderId="14" xfId="0" applyFill="1" applyBorder="1" applyAlignment="1" applyProtection="1">
      <alignment horizontal="left" vertical="center" wrapText="1" indent="1"/>
      <protection/>
    </xf>
    <xf numFmtId="0" fontId="0" fillId="33" borderId="31" xfId="0" applyFill="1" applyBorder="1" applyAlignment="1" applyProtection="1">
      <alignment horizontal="left" vertical="center" wrapText="1" indent="1"/>
      <protection/>
    </xf>
    <xf numFmtId="0" fontId="0" fillId="33" borderId="10" xfId="0" applyFill="1" applyBorder="1" applyAlignment="1" applyProtection="1">
      <alignment horizontal="left" vertical="center" wrapText="1" indent="1"/>
      <protection/>
    </xf>
    <xf numFmtId="0" fontId="0" fillId="33" borderId="15" xfId="0" applyFill="1" applyBorder="1" applyAlignment="1" applyProtection="1">
      <alignment horizontal="left" vertical="center" wrapText="1" indent="1"/>
      <protection/>
    </xf>
    <xf numFmtId="0" fontId="70" fillId="33" borderId="0" xfId="0" applyFont="1" applyFill="1" applyBorder="1" applyAlignment="1" applyProtection="1">
      <alignment horizontal="center" vertical="center"/>
      <protection/>
    </xf>
    <xf numFmtId="0" fontId="80" fillId="33" borderId="0" xfId="0" applyFont="1" applyFill="1" applyAlignment="1" applyProtection="1">
      <alignment horizontal="center" vertical="center"/>
      <protection/>
    </xf>
    <xf numFmtId="0" fontId="0" fillId="33" borderId="0" xfId="0" applyFont="1" applyFill="1" applyBorder="1" applyAlignment="1" applyProtection="1">
      <alignment horizontal="center" vertical="center"/>
      <protection/>
    </xf>
    <xf numFmtId="0" fontId="0" fillId="33" borderId="0" xfId="0" applyFont="1" applyFill="1" applyAlignment="1" applyProtection="1">
      <alignment horizontal="center" vertical="center"/>
      <protection/>
    </xf>
    <xf numFmtId="0" fontId="65" fillId="33" borderId="0" xfId="0" applyFont="1" applyFill="1" applyBorder="1" applyAlignment="1" applyProtection="1">
      <alignment horizontal="center" vertical="center"/>
      <protection/>
    </xf>
    <xf numFmtId="0" fontId="65" fillId="0" borderId="0" xfId="0" applyFont="1" applyAlignment="1" applyProtection="1">
      <alignment horizontal="center" vertical="center"/>
      <protection/>
    </xf>
    <xf numFmtId="0" fontId="0" fillId="36" borderId="10" xfId="0" applyFont="1" applyFill="1" applyBorder="1" applyAlignment="1" applyProtection="1">
      <alignment vertical="center"/>
      <protection locked="0"/>
    </xf>
    <xf numFmtId="0" fontId="0" fillId="36" borderId="10" xfId="0" applyFill="1" applyBorder="1" applyAlignment="1" applyProtection="1">
      <alignment/>
      <protection locked="0"/>
    </xf>
    <xf numFmtId="0" fontId="7" fillId="33" borderId="43" xfId="0" applyFont="1" applyFill="1" applyBorder="1" applyAlignment="1" applyProtection="1">
      <alignment horizontal="center" vertical="center"/>
      <protection/>
    </xf>
    <xf numFmtId="0" fontId="65" fillId="0" borderId="44" xfId="0" applyFont="1" applyBorder="1" applyAlignment="1">
      <alignment horizontal="center" vertical="center"/>
    </xf>
    <xf numFmtId="0" fontId="65" fillId="0" borderId="45" xfId="0" applyFont="1" applyBorder="1" applyAlignment="1">
      <alignment horizontal="center" vertical="center"/>
    </xf>
    <xf numFmtId="5" fontId="7" fillId="0" borderId="32" xfId="0" applyNumberFormat="1" applyFont="1" applyBorder="1" applyAlignment="1" applyProtection="1">
      <alignment horizontal="center" vertical="center"/>
      <protection/>
    </xf>
    <xf numFmtId="0" fontId="6" fillId="0" borderId="18" xfId="0" applyFont="1" applyBorder="1" applyAlignment="1" applyProtection="1">
      <alignment horizontal="center" vertical="center"/>
      <protection/>
    </xf>
    <xf numFmtId="0" fontId="6" fillId="0" borderId="33" xfId="0" applyFont="1" applyBorder="1" applyAlignment="1" applyProtection="1">
      <alignment horizontal="center" vertical="center"/>
      <protection/>
    </xf>
    <xf numFmtId="0" fontId="7" fillId="33" borderId="28" xfId="0" applyFont="1" applyFill="1" applyBorder="1" applyAlignment="1" applyProtection="1">
      <alignment horizontal="center" vertical="center"/>
      <protection/>
    </xf>
    <xf numFmtId="0" fontId="65" fillId="33" borderId="12" xfId="0" applyFont="1" applyFill="1" applyBorder="1" applyAlignment="1" applyProtection="1">
      <alignment horizontal="center" vertical="center"/>
      <protection/>
    </xf>
    <xf numFmtId="0" fontId="65" fillId="33" borderId="13" xfId="0" applyFont="1" applyFill="1" applyBorder="1" applyAlignment="1" applyProtection="1">
      <alignment horizontal="center" vertical="center"/>
      <protection/>
    </xf>
    <xf numFmtId="0" fontId="3" fillId="33" borderId="20" xfId="0" applyFont="1" applyFill="1" applyBorder="1" applyAlignment="1" applyProtection="1">
      <alignment horizontal="center" vertical="center"/>
      <protection/>
    </xf>
    <xf numFmtId="0" fontId="70" fillId="33" borderId="20" xfId="0" applyFont="1" applyFill="1" applyBorder="1" applyAlignment="1" applyProtection="1">
      <alignment horizontal="center" vertical="center"/>
      <protection/>
    </xf>
    <xf numFmtId="5" fontId="7" fillId="0" borderId="28" xfId="0" applyNumberFormat="1" applyFont="1" applyBorder="1" applyAlignment="1" applyProtection="1">
      <alignment horizontal="center" vertical="center"/>
      <protection/>
    </xf>
    <xf numFmtId="0" fontId="6" fillId="0" borderId="12" xfId="0" applyFont="1" applyBorder="1" applyAlignment="1" applyProtection="1">
      <alignment horizontal="center" vertical="center"/>
      <protection/>
    </xf>
    <xf numFmtId="0" fontId="6" fillId="0" borderId="13" xfId="0" applyFont="1" applyBorder="1" applyAlignment="1" applyProtection="1">
      <alignment horizontal="center" vertical="center"/>
      <protection/>
    </xf>
    <xf numFmtId="0" fontId="11" fillId="33" borderId="0" xfId="0" applyFont="1" applyFill="1" applyBorder="1" applyAlignment="1" applyProtection="1">
      <alignment horizontal="left" vertical="center" wrapText="1"/>
      <protection/>
    </xf>
    <xf numFmtId="0" fontId="0" fillId="33" borderId="0" xfId="0" applyFont="1" applyFill="1" applyBorder="1" applyAlignment="1">
      <alignment horizontal="left" vertical="center"/>
    </xf>
    <xf numFmtId="0" fontId="0" fillId="33" borderId="0" xfId="0" applyFont="1" applyFill="1" applyBorder="1" applyAlignment="1">
      <alignment vertical="center" wrapText="1"/>
    </xf>
    <xf numFmtId="0" fontId="0" fillId="33" borderId="0" xfId="0" applyFill="1" applyBorder="1" applyAlignment="1">
      <alignment vertical="center" wrapText="1"/>
    </xf>
    <xf numFmtId="0" fontId="6" fillId="0" borderId="0" xfId="0" applyFont="1" applyBorder="1" applyAlignment="1" applyProtection="1">
      <alignment vertical="center" wrapText="1"/>
      <protection/>
    </xf>
    <xf numFmtId="0" fontId="0" fillId="0" borderId="0" xfId="0" applyBorder="1" applyAlignment="1">
      <alignment vertical="center"/>
    </xf>
    <xf numFmtId="0" fontId="6" fillId="33" borderId="28" xfId="0" applyFont="1" applyFill="1" applyBorder="1" applyAlignment="1" applyProtection="1">
      <alignment vertical="center" wrapText="1"/>
      <protection/>
    </xf>
    <xf numFmtId="0" fontId="0" fillId="0" borderId="12" xfId="0" applyBorder="1" applyAlignment="1">
      <alignment vertical="center"/>
    </xf>
    <xf numFmtId="0" fontId="0" fillId="0" borderId="13" xfId="0" applyBorder="1" applyAlignment="1">
      <alignment vertical="center"/>
    </xf>
    <xf numFmtId="0" fontId="0" fillId="0" borderId="31" xfId="0" applyBorder="1" applyAlignment="1">
      <alignment/>
    </xf>
    <xf numFmtId="0" fontId="0" fillId="0" borderId="10" xfId="0" applyBorder="1" applyAlignment="1">
      <alignment/>
    </xf>
    <xf numFmtId="0" fontId="0" fillId="0" borderId="15" xfId="0" applyBorder="1" applyAlignment="1">
      <alignment/>
    </xf>
    <xf numFmtId="0" fontId="0" fillId="33" borderId="0" xfId="0" applyFont="1" applyFill="1" applyBorder="1" applyAlignment="1">
      <alignment vertical="top" wrapText="1"/>
    </xf>
    <xf numFmtId="0" fontId="0" fillId="33" borderId="0" xfId="0" applyFill="1" applyBorder="1" applyAlignment="1">
      <alignment vertical="top"/>
    </xf>
    <xf numFmtId="49" fontId="0" fillId="33" borderId="46" xfId="0" applyNumberFormat="1" applyFont="1" applyFill="1" applyBorder="1" applyAlignment="1" applyProtection="1">
      <alignment vertical="center"/>
      <protection/>
    </xf>
    <xf numFmtId="0" fontId="0" fillId="33" borderId="47" xfId="0" applyFont="1" applyFill="1" applyBorder="1" applyAlignment="1" applyProtection="1">
      <alignment vertical="center"/>
      <protection/>
    </xf>
    <xf numFmtId="49" fontId="0" fillId="33" borderId="36" xfId="0" applyNumberFormat="1" applyFont="1" applyFill="1" applyBorder="1" applyAlignment="1" applyProtection="1">
      <alignment vertical="center"/>
      <protection/>
    </xf>
    <xf numFmtId="0" fontId="0" fillId="33" borderId="37" xfId="0" applyFont="1" applyFill="1" applyBorder="1" applyAlignment="1" applyProtection="1">
      <alignment vertical="center"/>
      <protection/>
    </xf>
    <xf numFmtId="49" fontId="65" fillId="33" borderId="36" xfId="0" applyNumberFormat="1" applyFont="1" applyFill="1" applyBorder="1" applyAlignment="1" applyProtection="1">
      <alignment horizontal="right" vertical="center" indent="2"/>
      <protection/>
    </xf>
    <xf numFmtId="0" fontId="65" fillId="33" borderId="37" xfId="0" applyFont="1" applyFill="1" applyBorder="1" applyAlignment="1" applyProtection="1">
      <alignment horizontal="right" vertical="center" indent="2"/>
      <protection/>
    </xf>
    <xf numFmtId="0" fontId="76" fillId="33" borderId="10" xfId="0" applyFont="1" applyFill="1" applyBorder="1" applyAlignment="1" applyProtection="1">
      <alignment vertical="center" wrapText="1"/>
      <protection/>
    </xf>
    <xf numFmtId="0" fontId="0" fillId="33" borderId="10" xfId="0" applyFont="1" applyFill="1" applyBorder="1" applyAlignment="1" applyProtection="1">
      <alignment vertical="center" wrapText="1"/>
      <protection/>
    </xf>
    <xf numFmtId="49" fontId="65" fillId="33" borderId="46" xfId="0" applyNumberFormat="1" applyFont="1" applyFill="1" applyBorder="1" applyAlignment="1" applyProtection="1">
      <alignment vertical="center"/>
      <protection/>
    </xf>
    <xf numFmtId="0" fontId="65" fillId="33" borderId="47" xfId="0" applyFont="1" applyFill="1" applyBorder="1" applyAlignment="1" applyProtection="1">
      <alignment vertical="center"/>
      <protection/>
    </xf>
    <xf numFmtId="49" fontId="0" fillId="0" borderId="46" xfId="0" applyNumberFormat="1" applyFont="1" applyBorder="1" applyAlignment="1">
      <alignment vertical="center"/>
    </xf>
    <xf numFmtId="0" fontId="0" fillId="0" borderId="47" xfId="0" applyFont="1" applyBorder="1" applyAlignment="1">
      <alignment vertical="center"/>
    </xf>
    <xf numFmtId="49" fontId="0" fillId="33" borderId="46" xfId="0" applyNumberFormat="1" applyFont="1" applyFill="1" applyBorder="1" applyAlignment="1">
      <alignment vertical="center"/>
    </xf>
    <xf numFmtId="0" fontId="0" fillId="33" borderId="47" xfId="0" applyFont="1" applyFill="1" applyBorder="1" applyAlignment="1">
      <alignment vertical="center"/>
    </xf>
    <xf numFmtId="49" fontId="0" fillId="33" borderId="36" xfId="0" applyNumberFormat="1" applyFont="1" applyFill="1" applyBorder="1" applyAlignment="1">
      <alignment vertical="center"/>
    </xf>
    <xf numFmtId="0" fontId="0" fillId="0" borderId="37" xfId="0" applyBorder="1" applyAlignment="1">
      <alignment vertical="center"/>
    </xf>
    <xf numFmtId="49" fontId="65" fillId="33" borderId="36" xfId="0" applyNumberFormat="1" applyFont="1" applyFill="1" applyBorder="1" applyAlignment="1" applyProtection="1">
      <alignment vertical="center"/>
      <protection/>
    </xf>
    <xf numFmtId="0" fontId="65" fillId="33" borderId="37" xfId="0" applyFont="1" applyFill="1" applyBorder="1" applyAlignment="1" applyProtection="1">
      <alignment vertical="center"/>
      <protection/>
    </xf>
    <xf numFmtId="49" fontId="0" fillId="0" borderId="22" xfId="0" applyNumberFormat="1" applyBorder="1" applyAlignment="1">
      <alignment vertical="center"/>
    </xf>
    <xf numFmtId="0" fontId="0" fillId="0" borderId="23" xfId="0" applyBorder="1" applyAlignment="1">
      <alignment vertical="center"/>
    </xf>
    <xf numFmtId="49" fontId="65" fillId="33" borderId="36" xfId="0" applyNumberFormat="1" applyFont="1" applyFill="1" applyBorder="1" applyAlignment="1" applyProtection="1">
      <alignment horizontal="right" vertical="center" indent="1"/>
      <protection/>
    </xf>
    <xf numFmtId="0" fontId="65" fillId="33" borderId="37" xfId="0" applyFont="1" applyFill="1" applyBorder="1" applyAlignment="1" applyProtection="1">
      <alignment horizontal="right" vertical="center" indent="1"/>
      <protection/>
    </xf>
    <xf numFmtId="49" fontId="7" fillId="33" borderId="48" xfId="0" applyNumberFormat="1" applyFont="1" applyFill="1" applyBorder="1" applyAlignment="1" applyProtection="1">
      <alignment horizontal="center" vertical="center"/>
      <protection/>
    </xf>
    <xf numFmtId="0" fontId="7" fillId="33" borderId="49" xfId="0" applyFont="1" applyFill="1" applyBorder="1" applyAlignment="1" applyProtection="1">
      <alignment horizontal="center" vertical="center"/>
      <protection/>
    </xf>
    <xf numFmtId="0" fontId="6" fillId="33" borderId="50" xfId="0" applyFont="1" applyFill="1" applyBorder="1" applyAlignment="1" applyProtection="1">
      <alignment vertical="center"/>
      <protection/>
    </xf>
    <xf numFmtId="0" fontId="6" fillId="33" borderId="51" xfId="0" applyFont="1" applyFill="1" applyBorder="1" applyAlignment="1" applyProtection="1">
      <alignment vertical="center"/>
      <protection/>
    </xf>
    <xf numFmtId="49" fontId="0" fillId="33" borderId="31" xfId="0" applyNumberFormat="1" applyFont="1" applyFill="1" applyBorder="1" applyAlignment="1" applyProtection="1">
      <alignment horizontal="left" vertical="center" wrapText="1"/>
      <protection/>
    </xf>
    <xf numFmtId="0" fontId="0" fillId="0" borderId="10" xfId="0" applyFont="1" applyBorder="1" applyAlignment="1" applyProtection="1">
      <alignment horizontal="left" vertical="center" wrapText="1"/>
      <protection/>
    </xf>
    <xf numFmtId="0" fontId="0" fillId="0" borderId="15" xfId="0" applyFont="1" applyBorder="1" applyAlignment="1" applyProtection="1">
      <alignment horizontal="left" vertical="center" wrapText="1"/>
      <protection/>
    </xf>
    <xf numFmtId="0" fontId="0" fillId="33" borderId="0" xfId="0" applyFont="1" applyFill="1" applyAlignment="1">
      <alignment horizontal="left" vertical="center" wrapText="1"/>
    </xf>
    <xf numFmtId="0" fontId="0" fillId="0" borderId="0" xfId="0" applyAlignment="1">
      <alignment horizontal="left" vertical="center" wrapText="1"/>
    </xf>
    <xf numFmtId="49" fontId="0" fillId="33" borderId="36" xfId="0" applyNumberFormat="1" applyFont="1" applyFill="1" applyBorder="1" applyAlignment="1" applyProtection="1">
      <alignment vertical="center" wrapText="1"/>
      <protection/>
    </xf>
    <xf numFmtId="0" fontId="0" fillId="33" borderId="37" xfId="0" applyFont="1" applyFill="1" applyBorder="1" applyAlignment="1" applyProtection="1">
      <alignment vertical="center" wrapText="1"/>
      <protection/>
    </xf>
    <xf numFmtId="49" fontId="0" fillId="33" borderId="36" xfId="0" applyNumberFormat="1" applyFont="1" applyFill="1" applyBorder="1" applyAlignment="1" applyProtection="1">
      <alignment horizontal="right" vertical="center" indent="1"/>
      <protection/>
    </xf>
    <xf numFmtId="0" fontId="0" fillId="33" borderId="37" xfId="0" applyFont="1" applyFill="1" applyBorder="1" applyAlignment="1" applyProtection="1">
      <alignment horizontal="right" vertical="center" indent="1"/>
      <protection/>
    </xf>
    <xf numFmtId="49" fontId="65" fillId="33" borderId="25" xfId="0" applyNumberFormat="1" applyFont="1" applyFill="1" applyBorder="1" applyAlignment="1" applyProtection="1">
      <alignment horizontal="right" vertical="center" indent="1"/>
      <protection/>
    </xf>
    <xf numFmtId="0" fontId="65" fillId="33" borderId="27" xfId="0" applyFont="1" applyFill="1" applyBorder="1" applyAlignment="1" applyProtection="1">
      <alignment horizontal="right" vertical="center" indent="1"/>
      <protection/>
    </xf>
    <xf numFmtId="49" fontId="83" fillId="33" borderId="0" xfId="0" applyNumberFormat="1" applyFont="1" applyFill="1" applyBorder="1" applyAlignment="1" applyProtection="1">
      <alignment horizontal="left" vertical="center" wrapText="1"/>
      <protection/>
    </xf>
    <xf numFmtId="0" fontId="83" fillId="0" borderId="0" xfId="0" applyFont="1" applyAlignment="1">
      <alignment horizontal="left" vertical="center" wrapText="1"/>
    </xf>
    <xf numFmtId="0" fontId="7" fillId="33" borderId="34" xfId="0" applyFont="1" applyFill="1" applyBorder="1" applyAlignment="1" applyProtection="1">
      <alignment horizontal="center" vertical="center"/>
      <protection/>
    </xf>
    <xf numFmtId="0" fontId="0" fillId="0" borderId="30" xfId="0" applyFont="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0" fillId="0" borderId="0" xfId="0" applyFont="1" applyAlignment="1">
      <alignment horizontal="left" vertical="center" wrapText="1"/>
    </xf>
    <xf numFmtId="0" fontId="80" fillId="0" borderId="20" xfId="0" applyFont="1" applyBorder="1" applyAlignment="1">
      <alignment horizontal="center" vertical="center"/>
    </xf>
    <xf numFmtId="49" fontId="7" fillId="33" borderId="52" xfId="0" applyNumberFormat="1" applyFont="1" applyFill="1" applyBorder="1" applyAlignment="1" applyProtection="1">
      <alignment horizontal="center" vertical="center"/>
      <protection/>
    </xf>
    <xf numFmtId="0" fontId="7" fillId="33" borderId="53" xfId="0" applyFont="1" applyFill="1" applyBorder="1" applyAlignment="1" applyProtection="1">
      <alignment horizontal="center" vertical="center"/>
      <protection/>
    </xf>
    <xf numFmtId="0" fontId="6" fillId="33" borderId="54" xfId="0" applyFont="1" applyFill="1" applyBorder="1" applyAlignment="1" applyProtection="1">
      <alignment horizontal="center" vertical="center"/>
      <protection/>
    </xf>
    <xf numFmtId="0" fontId="6" fillId="33" borderId="55" xfId="0" applyFont="1" applyFill="1" applyBorder="1" applyAlignment="1" applyProtection="1">
      <alignment horizontal="center" vertical="center"/>
      <protection/>
    </xf>
    <xf numFmtId="0" fontId="65" fillId="33" borderId="34" xfId="0" applyFont="1" applyFill="1" applyBorder="1" applyAlignment="1" applyProtection="1">
      <alignment horizontal="center" vertical="center"/>
      <protection/>
    </xf>
    <xf numFmtId="0" fontId="0" fillId="0" borderId="30" xfId="0" applyFont="1" applyBorder="1" applyAlignment="1" applyProtection="1">
      <alignment vertical="center"/>
      <protection/>
    </xf>
    <xf numFmtId="0" fontId="76" fillId="36" borderId="34" xfId="0" applyFont="1" applyFill="1" applyBorder="1" applyAlignment="1" applyProtection="1">
      <alignment vertical="center" wrapText="1"/>
      <protection locked="0"/>
    </xf>
    <xf numFmtId="0" fontId="0" fillId="0" borderId="17" xfId="0" applyBorder="1" applyAlignment="1" applyProtection="1">
      <alignment vertical="center" wrapText="1"/>
      <protection locked="0"/>
    </xf>
    <xf numFmtId="0" fontId="0" fillId="0" borderId="30" xfId="0" applyBorder="1" applyAlignment="1" applyProtection="1">
      <alignment vertical="center" wrapText="1"/>
      <protection locked="0"/>
    </xf>
    <xf numFmtId="0" fontId="6" fillId="36" borderId="34" xfId="0" applyFont="1" applyFill="1" applyBorder="1" applyAlignment="1" applyProtection="1">
      <alignment horizontal="center" vertical="center" wrapText="1"/>
      <protection locked="0"/>
    </xf>
    <xf numFmtId="0" fontId="0" fillId="36" borderId="17" xfId="0" applyFill="1" applyBorder="1" applyAlignment="1" applyProtection="1">
      <alignment vertical="center" wrapText="1"/>
      <protection locked="0"/>
    </xf>
    <xf numFmtId="0" fontId="0" fillId="36" borderId="30" xfId="0" applyFill="1" applyBorder="1" applyAlignment="1" applyProtection="1">
      <alignment vertical="center" wrapText="1"/>
      <protection locked="0"/>
    </xf>
    <xf numFmtId="49" fontId="0" fillId="0" borderId="22" xfId="0" applyNumberFormat="1" applyFont="1" applyBorder="1" applyAlignment="1">
      <alignment horizontal="left" vertical="center"/>
    </xf>
    <xf numFmtId="49" fontId="0" fillId="0" borderId="23" xfId="0" applyNumberFormat="1" applyFont="1" applyBorder="1" applyAlignment="1">
      <alignment horizontal="left" vertical="center"/>
    </xf>
    <xf numFmtId="0" fontId="74" fillId="36" borderId="34" xfId="0" applyFont="1" applyFill="1" applyBorder="1" applyAlignment="1" applyProtection="1">
      <alignment vertical="center" wrapText="1"/>
      <protection locked="0"/>
    </xf>
    <xf numFmtId="0" fontId="83" fillId="33" borderId="43" xfId="0" applyFont="1" applyFill="1" applyBorder="1" applyAlignment="1">
      <alignment horizontal="center" vertical="center" wrapText="1"/>
    </xf>
    <xf numFmtId="0" fontId="84" fillId="33" borderId="44" xfId="0" applyFont="1" applyFill="1" applyBorder="1" applyAlignment="1">
      <alignment vertical="center" wrapText="1"/>
    </xf>
    <xf numFmtId="0" fontId="84" fillId="33" borderId="45" xfId="0" applyFont="1" applyFill="1" applyBorder="1" applyAlignment="1">
      <alignment vertical="center" wrapText="1"/>
    </xf>
    <xf numFmtId="0" fontId="81" fillId="0" borderId="0" xfId="0" applyFont="1" applyAlignment="1">
      <alignment horizontal="center" vertic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10" xfId="58"/>
    <cellStyle name="Normal 2" xfId="59"/>
    <cellStyle name="Normal 3 2" xfId="60"/>
    <cellStyle name="Note" xfId="61"/>
    <cellStyle name="Output" xfId="62"/>
    <cellStyle name="Percent" xfId="63"/>
    <cellStyle name="Title" xfId="64"/>
    <cellStyle name="Total" xfId="65"/>
    <cellStyle name="Warning Text" xfId="66"/>
  </cellStyles>
  <dxfs count="55">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ont>
        <color rgb="FF9C0006"/>
      </font>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ill>
        <patternFill>
          <bgColor rgb="FFFFFF00"/>
        </patternFill>
      </fill>
    </dxf>
    <dxf>
      <font>
        <color rgb="FF9C0006"/>
      </font>
      <fill>
        <patternFill>
          <bgColor rgb="FFFFC7CE"/>
        </patternFill>
      </fill>
      <border/>
    </dxf>
    <dxf>
      <font>
        <color rgb="FF9C0006"/>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ables/table1.xml><?xml version="1.0" encoding="utf-8"?>
<table xmlns="http://schemas.openxmlformats.org/spreadsheetml/2006/main" id="61" name="Table262" displayName="Table262" ref="C15:G306" comment="" totalsRowShown="0">
  <autoFilter ref="C15:G306"/>
  <tableColumns count="5">
    <tableColumn id="1" name="School Corporation"/>
    <tableColumn id="2" name="FY 24 Index"/>
    <tableColumn id="3" name="FY 24 $/ADM"/>
    <tableColumn id="5" name="FY 25 Index2"/>
    <tableColumn id="4" name="FY 25 $/ADM"/>
  </tableColumns>
  <tableStyleInfo name="TableStyleMedium9" showFirstColumn="0" showLastColumn="0" showRowStripes="1" showColumnStripes="0"/>
</table>
</file>

<file path=xl/tables/table2.xml><?xml version="1.0" encoding="utf-8"?>
<table xmlns="http://schemas.openxmlformats.org/spreadsheetml/2006/main" id="62" name="Table3863" displayName="Table3863" ref="J28:J31" comment="" totalsRowShown="0">
  <autoFilter ref="J28:J31"/>
  <tableColumns count="1">
    <tableColumn id="1" name="Adult High School?"/>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0" tint="-0.4999699890613556"/>
  </sheetPr>
  <dimension ref="A1:X45"/>
  <sheetViews>
    <sheetView zoomScalePageLayoutView="0" workbookViewId="0" topLeftCell="A1">
      <selection activeCell="E7" sqref="E7"/>
    </sheetView>
  </sheetViews>
  <sheetFormatPr defaultColWidth="9.140625" defaultRowHeight="15"/>
  <cols>
    <col min="1" max="3" width="3.00390625" style="29" customWidth="1"/>
    <col min="4" max="4" width="30.7109375" style="29" customWidth="1"/>
    <col min="5" max="5" width="64.140625" style="29" customWidth="1"/>
    <col min="6" max="6" width="3.00390625" style="29" customWidth="1"/>
    <col min="7" max="16384" width="9.140625" style="29" customWidth="1"/>
  </cols>
  <sheetData>
    <row r="1" spans="1:24" ht="15" customHeight="1" thickBot="1">
      <c r="A1" s="28"/>
      <c r="B1" s="28"/>
      <c r="C1" s="28"/>
      <c r="D1" s="28"/>
      <c r="E1" s="28"/>
      <c r="F1" s="28"/>
      <c r="H1" s="30"/>
      <c r="I1" s="31"/>
      <c r="J1" s="31"/>
      <c r="K1" s="31"/>
      <c r="L1" s="31"/>
      <c r="M1" s="31"/>
      <c r="N1" s="31"/>
      <c r="O1" s="31"/>
      <c r="P1" s="31"/>
      <c r="Q1" s="31"/>
      <c r="R1" s="31"/>
      <c r="S1" s="31"/>
      <c r="T1" s="31"/>
      <c r="U1" s="31"/>
      <c r="V1" s="31"/>
      <c r="W1" s="31"/>
      <c r="X1" s="31"/>
    </row>
    <row r="2" spans="1:24" ht="15" customHeight="1">
      <c r="A2" s="28"/>
      <c r="B2" s="32"/>
      <c r="C2" s="33"/>
      <c r="D2" s="33"/>
      <c r="E2" s="33"/>
      <c r="F2" s="34"/>
      <c r="H2" s="31"/>
      <c r="I2" s="31"/>
      <c r="J2" s="31"/>
      <c r="K2" s="31"/>
      <c r="L2" s="31"/>
      <c r="M2" s="31"/>
      <c r="N2" s="31"/>
      <c r="O2" s="31"/>
      <c r="P2" s="31"/>
      <c r="Q2" s="31"/>
      <c r="R2" s="31"/>
      <c r="S2" s="31"/>
      <c r="T2" s="31"/>
      <c r="U2" s="31"/>
      <c r="V2" s="31"/>
      <c r="W2" s="31"/>
      <c r="X2" s="31"/>
    </row>
    <row r="3" spans="1:24" ht="18.75">
      <c r="A3" s="28"/>
      <c r="B3" s="35"/>
      <c r="C3" s="459" t="s">
        <v>510</v>
      </c>
      <c r="D3" s="460"/>
      <c r="E3" s="460"/>
      <c r="F3" s="36"/>
      <c r="H3" s="31"/>
      <c r="I3" s="31"/>
      <c r="J3" s="31"/>
      <c r="K3" s="31"/>
      <c r="L3" s="31"/>
      <c r="M3" s="31"/>
      <c r="N3" s="31"/>
      <c r="O3" s="31"/>
      <c r="P3" s="31"/>
      <c r="Q3" s="31"/>
      <c r="R3" s="31"/>
      <c r="S3" s="31"/>
      <c r="T3" s="31"/>
      <c r="U3" s="31"/>
      <c r="V3" s="31"/>
      <c r="W3" s="31"/>
      <c r="X3" s="31"/>
    </row>
    <row r="4" spans="1:24" ht="15" customHeight="1">
      <c r="A4" s="28"/>
      <c r="B4" s="35"/>
      <c r="C4" s="37"/>
      <c r="D4" s="38" t="s">
        <v>95</v>
      </c>
      <c r="E4" s="39"/>
      <c r="F4" s="36"/>
      <c r="O4" s="31"/>
      <c r="P4" s="31"/>
      <c r="Q4" s="31"/>
      <c r="R4" s="31"/>
      <c r="S4" s="31"/>
      <c r="T4" s="31"/>
      <c r="U4" s="31"/>
      <c r="V4" s="31"/>
      <c r="W4" s="31"/>
      <c r="X4" s="31"/>
    </row>
    <row r="5" spans="1:24" ht="15" customHeight="1">
      <c r="A5" s="28"/>
      <c r="B5" s="35"/>
      <c r="C5" s="40"/>
      <c r="D5" s="40"/>
      <c r="E5" s="41"/>
      <c r="F5" s="36"/>
      <c r="H5" s="42"/>
      <c r="I5" s="31"/>
      <c r="J5" s="31"/>
      <c r="K5" s="31"/>
      <c r="L5" s="31"/>
      <c r="M5" s="31"/>
      <c r="N5" s="31"/>
      <c r="O5" s="31"/>
      <c r="P5" s="31"/>
      <c r="Q5" s="31"/>
      <c r="R5" s="31"/>
      <c r="S5" s="31"/>
      <c r="T5" s="31"/>
      <c r="U5" s="31"/>
      <c r="V5" s="31"/>
      <c r="W5" s="31"/>
      <c r="X5" s="31"/>
    </row>
    <row r="6" spans="1:24" ht="15" customHeight="1">
      <c r="A6" s="28"/>
      <c r="B6" s="35"/>
      <c r="C6" s="40"/>
      <c r="D6" s="399" t="s">
        <v>511</v>
      </c>
      <c r="E6" s="43" t="s">
        <v>863</v>
      </c>
      <c r="F6" s="36"/>
      <c r="H6" s="42"/>
      <c r="I6" s="31"/>
      <c r="J6" s="31"/>
      <c r="K6" s="31"/>
      <c r="L6" s="31"/>
      <c r="M6" s="31"/>
      <c r="N6" s="31"/>
      <c r="O6" s="31"/>
      <c r="P6" s="31"/>
      <c r="Q6" s="31"/>
      <c r="R6" s="31"/>
      <c r="S6" s="31"/>
      <c r="T6" s="31"/>
      <c r="U6" s="31"/>
      <c r="V6" s="31"/>
      <c r="W6" s="31"/>
      <c r="X6" s="31"/>
    </row>
    <row r="7" spans="1:24" ht="15" customHeight="1">
      <c r="A7" s="28"/>
      <c r="B7" s="35"/>
      <c r="C7" s="40"/>
      <c r="D7" s="399" t="s">
        <v>513</v>
      </c>
      <c r="E7" s="43" t="s">
        <v>225</v>
      </c>
      <c r="F7" s="36"/>
      <c r="H7" s="42"/>
      <c r="I7" s="31"/>
      <c r="J7" s="31"/>
      <c r="K7" s="31"/>
      <c r="L7" s="31"/>
      <c r="M7" s="31"/>
      <c r="N7" s="31"/>
      <c r="O7" s="31"/>
      <c r="P7" s="31"/>
      <c r="Q7" s="31"/>
      <c r="R7" s="31"/>
      <c r="S7" s="31"/>
      <c r="T7" s="31"/>
      <c r="U7" s="31"/>
      <c r="V7" s="31"/>
      <c r="W7" s="31"/>
      <c r="X7" s="31"/>
    </row>
    <row r="8" spans="1:24" ht="15" customHeight="1">
      <c r="A8" s="28"/>
      <c r="B8" s="35"/>
      <c r="C8" s="44"/>
      <c r="D8" s="400" t="s">
        <v>512</v>
      </c>
      <c r="E8" s="46" t="str">
        <f ca="1">YEAR(TODAY())+1&amp;" - "&amp;((YEAR(TODAY())+2)-2000)&amp;" SY"</f>
        <v>2024 - 25 SY</v>
      </c>
      <c r="F8" s="36"/>
      <c r="H8" s="42"/>
      <c r="I8" s="42"/>
      <c r="J8" s="42"/>
      <c r="K8" s="42"/>
      <c r="L8" s="42"/>
      <c r="M8" s="42"/>
      <c r="N8" s="31"/>
      <c r="O8" s="31"/>
      <c r="P8" s="31"/>
      <c r="Q8" s="31"/>
      <c r="R8" s="31"/>
      <c r="S8" s="31"/>
      <c r="T8" s="31"/>
      <c r="U8" s="31"/>
      <c r="V8" s="31"/>
      <c r="W8" s="31"/>
      <c r="X8" s="31"/>
    </row>
    <row r="9" spans="1:24" ht="15" customHeight="1">
      <c r="A9" s="28"/>
      <c r="B9" s="35"/>
      <c r="C9" s="44"/>
      <c r="D9" s="45"/>
      <c r="E9" s="46"/>
      <c r="F9" s="36"/>
      <c r="H9" s="42"/>
      <c r="I9" s="42"/>
      <c r="J9" s="42"/>
      <c r="K9" s="42"/>
      <c r="L9" s="42"/>
      <c r="M9" s="42"/>
      <c r="N9" s="31"/>
      <c r="O9" s="31"/>
      <c r="P9" s="31"/>
      <c r="Q9" s="31"/>
      <c r="R9" s="31"/>
      <c r="S9" s="31"/>
      <c r="T9" s="31"/>
      <c r="U9" s="31"/>
      <c r="V9" s="31"/>
      <c r="W9" s="31"/>
      <c r="X9" s="31"/>
    </row>
    <row r="10" spans="1:24" ht="112.5" customHeight="1">
      <c r="A10" s="28"/>
      <c r="B10" s="35"/>
      <c r="C10" s="47"/>
      <c r="D10" s="48" t="s">
        <v>60</v>
      </c>
      <c r="E10" s="49" t="s">
        <v>530</v>
      </c>
      <c r="F10" s="36"/>
      <c r="H10" s="42"/>
      <c r="I10" s="42"/>
      <c r="J10" s="42"/>
      <c r="K10" s="42"/>
      <c r="L10" s="42"/>
      <c r="M10" s="42"/>
      <c r="N10" s="31"/>
      <c r="O10" s="31"/>
      <c r="P10" s="31"/>
      <c r="Q10" s="31"/>
      <c r="R10" s="31"/>
      <c r="S10" s="31"/>
      <c r="T10" s="31"/>
      <c r="U10" s="31"/>
      <c r="V10" s="31"/>
      <c r="W10" s="31"/>
      <c r="X10" s="31"/>
    </row>
    <row r="11" spans="1:24" s="55" customFormat="1" ht="48.75" customHeight="1">
      <c r="A11" s="50"/>
      <c r="B11" s="51"/>
      <c r="C11" s="52"/>
      <c r="D11" s="53" t="s">
        <v>61</v>
      </c>
      <c r="E11" s="49" t="s">
        <v>519</v>
      </c>
      <c r="F11" s="54"/>
      <c r="H11" s="56"/>
      <c r="I11" s="57"/>
      <c r="J11" s="57"/>
      <c r="K11" s="57"/>
      <c r="L11" s="57"/>
      <c r="M11" s="57"/>
      <c r="N11" s="57"/>
      <c r="O11" s="57"/>
      <c r="P11" s="57"/>
      <c r="Q11" s="57"/>
      <c r="R11" s="57"/>
      <c r="S11" s="57"/>
      <c r="T11" s="57"/>
      <c r="U11" s="57"/>
      <c r="V11" s="57"/>
      <c r="W11" s="57"/>
      <c r="X11" s="57"/>
    </row>
    <row r="12" spans="1:24" s="55" customFormat="1" ht="239.25" customHeight="1">
      <c r="A12" s="50"/>
      <c r="B12" s="51"/>
      <c r="C12" s="58"/>
      <c r="D12" s="53" t="s">
        <v>62</v>
      </c>
      <c r="E12" s="49" t="s">
        <v>531</v>
      </c>
      <c r="F12" s="54"/>
      <c r="H12" s="461"/>
      <c r="I12" s="461"/>
      <c r="J12" s="461"/>
      <c r="K12" s="461"/>
      <c r="L12" s="461"/>
      <c r="M12" s="461"/>
      <c r="N12" s="461"/>
      <c r="O12" s="461"/>
      <c r="P12" s="461"/>
      <c r="Q12" s="461"/>
      <c r="R12" s="461"/>
      <c r="S12" s="461"/>
      <c r="T12" s="57"/>
      <c r="U12" s="57"/>
      <c r="V12" s="57"/>
      <c r="W12" s="57"/>
      <c r="X12" s="57"/>
    </row>
    <row r="13" spans="1:24" ht="72" customHeight="1">
      <c r="A13" s="28"/>
      <c r="B13" s="35"/>
      <c r="C13" s="41"/>
      <c r="D13" s="59" t="s">
        <v>514</v>
      </c>
      <c r="E13" s="49" t="s">
        <v>532</v>
      </c>
      <c r="F13" s="36"/>
      <c r="H13" s="461"/>
      <c r="I13" s="461"/>
      <c r="J13" s="461"/>
      <c r="K13" s="461"/>
      <c r="L13" s="461"/>
      <c r="M13" s="461"/>
      <c r="N13" s="461"/>
      <c r="O13" s="461"/>
      <c r="P13" s="461"/>
      <c r="Q13" s="461"/>
      <c r="R13" s="461"/>
      <c r="S13" s="461"/>
      <c r="T13" s="31"/>
      <c r="U13" s="31"/>
      <c r="V13" s="31"/>
      <c r="W13" s="31"/>
      <c r="X13" s="31"/>
    </row>
    <row r="14" spans="1:24" ht="164.25" customHeight="1">
      <c r="A14" s="28"/>
      <c r="B14" s="35"/>
      <c r="C14" s="41"/>
      <c r="D14" s="60" t="s">
        <v>63</v>
      </c>
      <c r="E14" s="49" t="s">
        <v>397</v>
      </c>
      <c r="F14" s="36"/>
      <c r="H14" s="462"/>
      <c r="I14" s="462"/>
      <c r="J14" s="462"/>
      <c r="K14" s="462"/>
      <c r="L14" s="462"/>
      <c r="M14" s="462"/>
      <c r="N14" s="462"/>
      <c r="O14" s="462"/>
      <c r="P14" s="462"/>
      <c r="Q14" s="462"/>
      <c r="R14" s="462"/>
      <c r="S14" s="462"/>
      <c r="T14" s="31"/>
      <c r="U14" s="31"/>
      <c r="V14" s="31"/>
      <c r="W14" s="31"/>
      <c r="X14" s="31"/>
    </row>
    <row r="15" spans="1:24" ht="15" customHeight="1">
      <c r="A15" s="28"/>
      <c r="B15" s="35"/>
      <c r="C15" s="41"/>
      <c r="D15" s="61"/>
      <c r="E15" s="62"/>
      <c r="F15" s="36"/>
      <c r="H15" s="31"/>
      <c r="I15" s="31"/>
      <c r="J15" s="31"/>
      <c r="K15" s="31"/>
      <c r="L15" s="31"/>
      <c r="M15" s="31"/>
      <c r="N15" s="31"/>
      <c r="O15" s="31"/>
      <c r="P15" s="31"/>
      <c r="Q15" s="31"/>
      <c r="R15" s="31"/>
      <c r="S15" s="31"/>
      <c r="T15" s="31"/>
      <c r="U15" s="31"/>
      <c r="V15" s="31"/>
      <c r="W15" s="31"/>
      <c r="X15" s="31"/>
    </row>
    <row r="16" spans="1:24" ht="15" customHeight="1" thickBot="1">
      <c r="A16" s="28"/>
      <c r="B16" s="63"/>
      <c r="C16" s="64"/>
      <c r="D16" s="64"/>
      <c r="E16" s="65"/>
      <c r="F16" s="66" t="s">
        <v>533</v>
      </c>
      <c r="O16" s="31"/>
      <c r="P16" s="31"/>
      <c r="Q16" s="31"/>
      <c r="R16" s="31"/>
      <c r="S16" s="31"/>
      <c r="T16" s="31"/>
      <c r="U16" s="31"/>
      <c r="V16" s="31"/>
      <c r="W16" s="31"/>
      <c r="X16" s="31"/>
    </row>
    <row r="17" spans="1:24" ht="15" customHeight="1">
      <c r="A17" s="28"/>
      <c r="B17" s="28"/>
      <c r="C17" s="28"/>
      <c r="D17" s="28"/>
      <c r="E17" s="67"/>
      <c r="F17" s="68"/>
      <c r="O17" s="31"/>
      <c r="P17" s="31"/>
      <c r="Q17" s="31"/>
      <c r="R17" s="31"/>
      <c r="S17" s="31"/>
      <c r="T17" s="31"/>
      <c r="U17" s="31"/>
      <c r="V17" s="31"/>
      <c r="W17" s="31"/>
      <c r="X17" s="31"/>
    </row>
    <row r="18" spans="1:24" ht="15">
      <c r="A18" s="28"/>
      <c r="O18" s="31"/>
      <c r="P18" s="31"/>
      <c r="Q18" s="31"/>
      <c r="R18" s="31"/>
      <c r="S18" s="31"/>
      <c r="T18" s="31"/>
      <c r="U18" s="31"/>
      <c r="V18" s="31"/>
      <c r="W18" s="31"/>
      <c r="X18" s="31"/>
    </row>
    <row r="19" spans="15:24" ht="15">
      <c r="O19" s="31"/>
      <c r="P19" s="31"/>
      <c r="Q19" s="31"/>
      <c r="R19" s="31"/>
      <c r="S19" s="31"/>
      <c r="T19" s="31"/>
      <c r="U19" s="31"/>
      <c r="V19" s="31"/>
      <c r="W19" s="31"/>
      <c r="X19" s="31"/>
    </row>
    <row r="20" spans="8:24" ht="15">
      <c r="H20" s="31"/>
      <c r="I20" s="31"/>
      <c r="J20" s="31"/>
      <c r="K20" s="31"/>
      <c r="L20" s="31"/>
      <c r="M20" s="31"/>
      <c r="N20" s="31"/>
      <c r="O20" s="31"/>
      <c r="P20" s="31"/>
      <c r="Q20" s="31"/>
      <c r="R20" s="31"/>
      <c r="S20" s="31"/>
      <c r="T20" s="31"/>
      <c r="U20" s="31"/>
      <c r="V20" s="31"/>
      <c r="W20" s="31"/>
      <c r="X20" s="31"/>
    </row>
    <row r="21" spans="8:24" ht="15">
      <c r="H21" s="31"/>
      <c r="I21" s="31"/>
      <c r="J21" s="31"/>
      <c r="K21" s="31"/>
      <c r="L21" s="31"/>
      <c r="M21" s="31"/>
      <c r="N21" s="31"/>
      <c r="O21" s="31"/>
      <c r="P21" s="31"/>
      <c r="Q21" s="31"/>
      <c r="R21" s="31"/>
      <c r="S21" s="31"/>
      <c r="T21" s="31"/>
      <c r="U21" s="31"/>
      <c r="V21" s="31"/>
      <c r="W21" s="31"/>
      <c r="X21" s="31"/>
    </row>
    <row r="22" spans="8:24" ht="15">
      <c r="H22" s="31"/>
      <c r="I22" s="31"/>
      <c r="J22" s="31"/>
      <c r="K22" s="31"/>
      <c r="L22" s="31"/>
      <c r="M22" s="31"/>
      <c r="N22" s="31"/>
      <c r="O22" s="31"/>
      <c r="P22" s="31"/>
      <c r="Q22" s="31"/>
      <c r="R22" s="31"/>
      <c r="S22" s="31"/>
      <c r="T22" s="31"/>
      <c r="U22" s="31"/>
      <c r="V22" s="31"/>
      <c r="W22" s="31"/>
      <c r="X22" s="31"/>
    </row>
    <row r="23" spans="8:24" ht="15">
      <c r="H23" s="31"/>
      <c r="I23" s="31"/>
      <c r="J23" s="31"/>
      <c r="K23" s="31"/>
      <c r="L23" s="31"/>
      <c r="M23" s="31"/>
      <c r="N23" s="31"/>
      <c r="O23" s="31"/>
      <c r="P23" s="31"/>
      <c r="Q23" s="31"/>
      <c r="R23" s="31"/>
      <c r="S23" s="31"/>
      <c r="T23" s="31"/>
      <c r="U23" s="31"/>
      <c r="V23" s="31"/>
      <c r="W23" s="31"/>
      <c r="X23" s="31"/>
    </row>
    <row r="24" spans="8:24" ht="15">
      <c r="H24" s="31"/>
      <c r="I24" s="31"/>
      <c r="J24" s="31"/>
      <c r="K24" s="31"/>
      <c r="L24" s="31"/>
      <c r="M24" s="31"/>
      <c r="N24" s="31"/>
      <c r="O24" s="31"/>
      <c r="P24" s="31"/>
      <c r="Q24" s="31"/>
      <c r="R24" s="31"/>
      <c r="S24" s="31"/>
      <c r="T24" s="31"/>
      <c r="U24" s="31"/>
      <c r="V24" s="31"/>
      <c r="W24" s="31"/>
      <c r="X24" s="31"/>
    </row>
    <row r="25" spans="8:24" ht="15">
      <c r="H25" s="31"/>
      <c r="I25" s="31"/>
      <c r="J25" s="31"/>
      <c r="K25" s="31"/>
      <c r="L25" s="31"/>
      <c r="M25" s="31"/>
      <c r="N25" s="31"/>
      <c r="O25" s="31"/>
      <c r="P25" s="31"/>
      <c r="Q25" s="31"/>
      <c r="R25" s="31"/>
      <c r="S25" s="31"/>
      <c r="T25" s="31"/>
      <c r="U25" s="31"/>
      <c r="V25" s="31"/>
      <c r="W25" s="31"/>
      <c r="X25" s="31"/>
    </row>
    <row r="26" spans="8:24" ht="15">
      <c r="H26" s="31"/>
      <c r="I26" s="31"/>
      <c r="J26" s="69"/>
      <c r="K26" s="31"/>
      <c r="L26" s="31"/>
      <c r="M26" s="31"/>
      <c r="N26" s="31"/>
      <c r="O26" s="31"/>
      <c r="P26" s="31"/>
      <c r="Q26" s="31"/>
      <c r="R26" s="31"/>
      <c r="S26" s="31"/>
      <c r="T26" s="31"/>
      <c r="U26" s="31"/>
      <c r="V26" s="31"/>
      <c r="W26" s="31"/>
      <c r="X26" s="31"/>
    </row>
    <row r="27" spans="8:24" ht="15">
      <c r="H27" s="31"/>
      <c r="I27" s="31"/>
      <c r="J27" s="31"/>
      <c r="K27" s="31"/>
      <c r="L27" s="31"/>
      <c r="M27" s="31"/>
      <c r="N27" s="31"/>
      <c r="O27" s="31"/>
      <c r="P27" s="31"/>
      <c r="Q27" s="31"/>
      <c r="R27" s="31"/>
      <c r="S27" s="31"/>
      <c r="T27" s="31"/>
      <c r="U27" s="31"/>
      <c r="V27" s="31"/>
      <c r="W27" s="31"/>
      <c r="X27" s="31"/>
    </row>
    <row r="28" spans="8:24" ht="15">
      <c r="H28" s="31"/>
      <c r="I28" s="31"/>
      <c r="J28" s="31"/>
      <c r="K28" s="31"/>
      <c r="L28" s="31"/>
      <c r="M28" s="31"/>
      <c r="N28" s="31"/>
      <c r="O28" s="31"/>
      <c r="P28" s="31"/>
      <c r="Q28" s="31"/>
      <c r="R28" s="31"/>
      <c r="S28" s="31"/>
      <c r="T28" s="31"/>
      <c r="U28" s="31"/>
      <c r="V28" s="31"/>
      <c r="W28" s="31"/>
      <c r="X28" s="31"/>
    </row>
    <row r="29" spans="8:24" ht="15">
      <c r="H29" s="31"/>
      <c r="I29" s="31"/>
      <c r="J29" s="31"/>
      <c r="K29" s="31"/>
      <c r="L29" s="31"/>
      <c r="M29" s="31"/>
      <c r="N29" s="31"/>
      <c r="O29" s="31"/>
      <c r="P29" s="31"/>
      <c r="Q29" s="31"/>
      <c r="R29" s="31"/>
      <c r="S29" s="31"/>
      <c r="T29" s="31"/>
      <c r="U29" s="31"/>
      <c r="V29" s="31"/>
      <c r="W29" s="31"/>
      <c r="X29" s="31"/>
    </row>
    <row r="30" spans="8:24" ht="15">
      <c r="H30" s="31"/>
      <c r="I30" s="31"/>
      <c r="J30" s="31"/>
      <c r="K30" s="31"/>
      <c r="L30" s="31"/>
      <c r="M30" s="31"/>
      <c r="N30" s="31"/>
      <c r="O30" s="31"/>
      <c r="P30" s="31"/>
      <c r="Q30" s="31"/>
      <c r="R30" s="31"/>
      <c r="S30" s="31"/>
      <c r="T30" s="31"/>
      <c r="U30" s="31"/>
      <c r="V30" s="31"/>
      <c r="W30" s="31"/>
      <c r="X30" s="31"/>
    </row>
    <row r="31" spans="8:24" ht="15">
      <c r="H31" s="31"/>
      <c r="I31" s="31"/>
      <c r="J31" s="31"/>
      <c r="K31" s="31"/>
      <c r="L31" s="31"/>
      <c r="M31" s="31"/>
      <c r="N31" s="31"/>
      <c r="O31" s="31"/>
      <c r="P31" s="31"/>
      <c r="Q31" s="31"/>
      <c r="R31" s="31"/>
      <c r="S31" s="31"/>
      <c r="T31" s="31"/>
      <c r="U31" s="31"/>
      <c r="V31" s="31"/>
      <c r="W31" s="31"/>
      <c r="X31" s="31"/>
    </row>
    <row r="32" spans="8:24" ht="15">
      <c r="H32" s="31"/>
      <c r="I32" s="31"/>
      <c r="J32" s="31"/>
      <c r="K32" s="31"/>
      <c r="L32" s="31"/>
      <c r="M32" s="31"/>
      <c r="N32" s="31"/>
      <c r="O32" s="31"/>
      <c r="P32" s="31"/>
      <c r="Q32" s="31"/>
      <c r="R32" s="31"/>
      <c r="S32" s="31"/>
      <c r="T32" s="31"/>
      <c r="U32" s="31"/>
      <c r="V32" s="31"/>
      <c r="W32" s="31"/>
      <c r="X32" s="31"/>
    </row>
    <row r="33" spans="8:24" ht="15">
      <c r="H33" s="31"/>
      <c r="I33" s="31"/>
      <c r="J33" s="31"/>
      <c r="K33" s="31"/>
      <c r="L33" s="31"/>
      <c r="M33" s="31"/>
      <c r="N33" s="31"/>
      <c r="O33" s="31"/>
      <c r="P33" s="31"/>
      <c r="Q33" s="31"/>
      <c r="R33" s="31"/>
      <c r="S33" s="31"/>
      <c r="T33" s="31"/>
      <c r="U33" s="31"/>
      <c r="V33" s="31"/>
      <c r="W33" s="31"/>
      <c r="X33" s="31"/>
    </row>
    <row r="34" spans="8:24" ht="15">
      <c r="H34" s="31"/>
      <c r="I34" s="31"/>
      <c r="J34" s="31"/>
      <c r="K34" s="31"/>
      <c r="L34" s="31"/>
      <c r="M34" s="31"/>
      <c r="N34" s="31"/>
      <c r="O34" s="31"/>
      <c r="P34" s="31"/>
      <c r="Q34" s="31"/>
      <c r="R34" s="31"/>
      <c r="S34" s="31"/>
      <c r="T34" s="31"/>
      <c r="U34" s="31"/>
      <c r="V34" s="31"/>
      <c r="W34" s="31"/>
      <c r="X34" s="31"/>
    </row>
    <row r="35" spans="8:24" ht="15">
      <c r="H35" s="31"/>
      <c r="I35" s="31"/>
      <c r="J35" s="31"/>
      <c r="K35" s="31"/>
      <c r="L35" s="31"/>
      <c r="M35" s="31"/>
      <c r="N35" s="31"/>
      <c r="O35" s="31"/>
      <c r="P35" s="31"/>
      <c r="Q35" s="31"/>
      <c r="R35" s="31"/>
      <c r="S35" s="31"/>
      <c r="T35" s="31"/>
      <c r="U35" s="31"/>
      <c r="V35" s="31"/>
      <c r="W35" s="31"/>
      <c r="X35" s="31"/>
    </row>
    <row r="36" spans="8:24" ht="15">
      <c r="H36" s="31"/>
      <c r="I36" s="31"/>
      <c r="J36" s="31"/>
      <c r="K36" s="31"/>
      <c r="L36" s="31"/>
      <c r="M36" s="31"/>
      <c r="N36" s="31"/>
      <c r="O36" s="31"/>
      <c r="P36" s="31"/>
      <c r="Q36" s="31"/>
      <c r="R36" s="31"/>
      <c r="S36" s="31"/>
      <c r="T36" s="31"/>
      <c r="U36" s="31"/>
      <c r="V36" s="31"/>
      <c r="W36" s="31"/>
      <c r="X36" s="31"/>
    </row>
    <row r="37" spans="8:24" ht="15">
      <c r="H37" s="31"/>
      <c r="I37" s="31"/>
      <c r="J37" s="31"/>
      <c r="K37" s="31"/>
      <c r="L37" s="31"/>
      <c r="M37" s="31"/>
      <c r="N37" s="31"/>
      <c r="O37" s="31"/>
      <c r="P37" s="31"/>
      <c r="Q37" s="31"/>
      <c r="R37" s="31"/>
      <c r="S37" s="31"/>
      <c r="T37" s="31"/>
      <c r="U37" s="31"/>
      <c r="V37" s="31"/>
      <c r="W37" s="31"/>
      <c r="X37" s="31"/>
    </row>
    <row r="38" spans="8:24" ht="15">
      <c r="H38" s="31"/>
      <c r="I38" s="31"/>
      <c r="J38" s="31"/>
      <c r="K38" s="31"/>
      <c r="L38" s="31"/>
      <c r="M38" s="31"/>
      <c r="N38" s="31"/>
      <c r="O38" s="31"/>
      <c r="P38" s="31"/>
      <c r="Q38" s="31"/>
      <c r="R38" s="31"/>
      <c r="S38" s="31"/>
      <c r="T38" s="31"/>
      <c r="U38" s="31"/>
      <c r="V38" s="31"/>
      <c r="W38" s="31"/>
      <c r="X38" s="31"/>
    </row>
    <row r="39" spans="8:24" ht="15">
      <c r="H39" s="31"/>
      <c r="I39" s="31"/>
      <c r="J39" s="31"/>
      <c r="K39" s="31"/>
      <c r="L39" s="31"/>
      <c r="M39" s="31"/>
      <c r="N39" s="31"/>
      <c r="O39" s="31"/>
      <c r="P39" s="31"/>
      <c r="Q39" s="31"/>
      <c r="R39" s="31"/>
      <c r="S39" s="31"/>
      <c r="T39" s="31"/>
      <c r="U39" s="31"/>
      <c r="V39" s="31"/>
      <c r="W39" s="31"/>
      <c r="X39" s="31"/>
    </row>
    <row r="40" spans="8:24" ht="15">
      <c r="H40" s="31"/>
      <c r="I40" s="31"/>
      <c r="J40" s="31"/>
      <c r="K40" s="31"/>
      <c r="L40" s="31"/>
      <c r="M40" s="31"/>
      <c r="N40" s="31"/>
      <c r="O40" s="31"/>
      <c r="P40" s="31"/>
      <c r="Q40" s="31"/>
      <c r="R40" s="31"/>
      <c r="S40" s="31"/>
      <c r="T40" s="31"/>
      <c r="U40" s="31"/>
      <c r="V40" s="31"/>
      <c r="W40" s="31"/>
      <c r="X40" s="31"/>
    </row>
    <row r="41" spans="8:24" ht="15">
      <c r="H41" s="31"/>
      <c r="I41" s="31"/>
      <c r="J41" s="31"/>
      <c r="K41" s="31"/>
      <c r="L41" s="31"/>
      <c r="M41" s="31"/>
      <c r="N41" s="31"/>
      <c r="O41" s="31"/>
      <c r="P41" s="31"/>
      <c r="Q41" s="31"/>
      <c r="R41" s="31"/>
      <c r="S41" s="31"/>
      <c r="T41" s="31"/>
      <c r="U41" s="31"/>
      <c r="V41" s="31"/>
      <c r="W41" s="31"/>
      <c r="X41" s="31"/>
    </row>
    <row r="42" spans="8:24" ht="15">
      <c r="H42" s="31"/>
      <c r="I42" s="31"/>
      <c r="J42" s="31"/>
      <c r="K42" s="31"/>
      <c r="L42" s="31"/>
      <c r="M42" s="31"/>
      <c r="N42" s="31"/>
      <c r="O42" s="31"/>
      <c r="P42" s="31"/>
      <c r="Q42" s="31"/>
      <c r="R42" s="31"/>
      <c r="S42" s="31"/>
      <c r="T42" s="31"/>
      <c r="U42" s="31"/>
      <c r="V42" s="31"/>
      <c r="W42" s="31"/>
      <c r="X42" s="31"/>
    </row>
    <row r="43" spans="8:24" ht="15">
      <c r="H43" s="31"/>
      <c r="I43" s="31"/>
      <c r="J43" s="31"/>
      <c r="K43" s="31"/>
      <c r="L43" s="31"/>
      <c r="M43" s="31"/>
      <c r="N43" s="31"/>
      <c r="O43" s="31"/>
      <c r="P43" s="31"/>
      <c r="Q43" s="31"/>
      <c r="R43" s="31"/>
      <c r="S43" s="31"/>
      <c r="T43" s="31"/>
      <c r="U43" s="31"/>
      <c r="V43" s="31"/>
      <c r="W43" s="31"/>
      <c r="X43" s="31"/>
    </row>
    <row r="44" spans="8:24" ht="15">
      <c r="H44" s="31"/>
      <c r="I44" s="31"/>
      <c r="J44" s="31"/>
      <c r="K44" s="31"/>
      <c r="L44" s="31"/>
      <c r="M44" s="31"/>
      <c r="N44" s="31"/>
      <c r="O44" s="31"/>
      <c r="P44" s="31"/>
      <c r="Q44" s="31"/>
      <c r="R44" s="31"/>
      <c r="S44" s="31"/>
      <c r="T44" s="31"/>
      <c r="U44" s="31"/>
      <c r="V44" s="31"/>
      <c r="W44" s="31"/>
      <c r="X44" s="31"/>
    </row>
    <row r="45" spans="8:24" ht="15">
      <c r="H45" s="31"/>
      <c r="I45" s="31"/>
      <c r="J45" s="31"/>
      <c r="K45" s="31"/>
      <c r="L45" s="31"/>
      <c r="M45" s="31"/>
      <c r="N45" s="31"/>
      <c r="O45" s="31"/>
      <c r="P45" s="31"/>
      <c r="Q45" s="31"/>
      <c r="R45" s="31"/>
      <c r="S45" s="31"/>
      <c r="T45" s="31"/>
      <c r="U45" s="31"/>
      <c r="V45" s="31"/>
      <c r="W45" s="31"/>
      <c r="X45" s="31"/>
    </row>
  </sheetData>
  <sheetProtection password="BDDB" sheet="1" objects="1" scenarios="1" selectLockedCells="1"/>
  <mergeCells count="4">
    <mergeCell ref="C3:E3"/>
    <mergeCell ref="H12:S12"/>
    <mergeCell ref="H14:S14"/>
    <mergeCell ref="H13:S13"/>
  </mergeCells>
  <dataValidations count="1">
    <dataValidation type="list" allowBlank="1" showInputMessage="1" sqref="E7">
      <formula1>CorpList</formula1>
    </dataValidation>
  </dataValidations>
  <hyperlinks>
    <hyperlink ref="D10" location="'1. Instructions'!A1" display="1. Instructions"/>
    <hyperlink ref="D11" location="'2. Enrollment Projections'!A1" display="2. Enrollment Projection"/>
    <hyperlink ref="D12" location="'3. Staffing Plan'!A1" display="3. Staffing Plan"/>
    <hyperlink ref="D13" location="'5. 5-Year Budget'!A1" display="5. 5-Year Budget"/>
  </hyperlink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3"/>
  </sheetPr>
  <dimension ref="B2:Z55"/>
  <sheetViews>
    <sheetView zoomScalePageLayoutView="0" workbookViewId="0" topLeftCell="A11">
      <selection activeCell="E28" sqref="E28"/>
    </sheetView>
  </sheetViews>
  <sheetFormatPr defaultColWidth="9.140625" defaultRowHeight="15"/>
  <cols>
    <col min="1" max="3" width="3.00390625" style="29" customWidth="1"/>
    <col min="4" max="4" width="26.57421875" style="29" customWidth="1"/>
    <col min="5" max="8" width="14.28125" style="29" customWidth="1"/>
    <col min="9" max="9" width="15.421875" style="29" customWidth="1"/>
    <col min="10" max="10" width="14.57421875" style="29" customWidth="1"/>
    <col min="11" max="11" width="3.28125" style="29" customWidth="1"/>
    <col min="12" max="17" width="14.57421875" style="29" customWidth="1"/>
    <col min="18" max="19" width="3.00390625" style="29" customWidth="1"/>
    <col min="20" max="26" width="9.140625" style="29" customWidth="1"/>
    <col min="27" max="16384" width="9.140625" style="29" customWidth="1"/>
  </cols>
  <sheetData>
    <row r="1" ht="15" customHeight="1" thickBot="1"/>
    <row r="2" spans="2:19" ht="15" customHeight="1">
      <c r="B2" s="70"/>
      <c r="C2" s="71"/>
      <c r="D2" s="71"/>
      <c r="E2" s="71"/>
      <c r="F2" s="71"/>
      <c r="G2" s="71"/>
      <c r="H2" s="71"/>
      <c r="I2" s="71"/>
      <c r="J2" s="71"/>
      <c r="K2" s="71"/>
      <c r="L2" s="71"/>
      <c r="M2" s="71"/>
      <c r="N2" s="71"/>
      <c r="O2" s="71"/>
      <c r="P2" s="71"/>
      <c r="Q2" s="71"/>
      <c r="R2" s="71"/>
      <c r="S2" s="72"/>
    </row>
    <row r="3" spans="2:19" ht="18.75">
      <c r="B3" s="73"/>
      <c r="C3" s="74"/>
      <c r="D3" s="474" t="s">
        <v>65</v>
      </c>
      <c r="E3" s="475"/>
      <c r="F3" s="475"/>
      <c r="G3" s="475"/>
      <c r="H3" s="475"/>
      <c r="I3" s="475"/>
      <c r="J3" s="475"/>
      <c r="K3" s="394"/>
      <c r="L3" s="394"/>
      <c r="M3" s="394"/>
      <c r="N3" s="394"/>
      <c r="O3" s="394"/>
      <c r="P3" s="394"/>
      <c r="Q3" s="394"/>
      <c r="R3" s="395"/>
      <c r="S3" s="75"/>
    </row>
    <row r="4" spans="2:19" ht="15" customHeight="1">
      <c r="B4" s="73"/>
      <c r="C4" s="74"/>
      <c r="D4" s="476" t="s">
        <v>516</v>
      </c>
      <c r="E4" s="477"/>
      <c r="F4" s="477"/>
      <c r="G4" s="477"/>
      <c r="H4" s="477"/>
      <c r="I4" s="477"/>
      <c r="J4" s="477"/>
      <c r="K4" s="395"/>
      <c r="L4" s="395"/>
      <c r="M4" s="395"/>
      <c r="N4" s="395"/>
      <c r="O4" s="395"/>
      <c r="P4" s="395"/>
      <c r="Q4" s="395"/>
      <c r="R4" s="395"/>
      <c r="S4" s="75"/>
    </row>
    <row r="5" spans="2:19" ht="15" customHeight="1">
      <c r="B5" s="73"/>
      <c r="C5" s="74"/>
      <c r="D5" s="478"/>
      <c r="E5" s="479"/>
      <c r="F5" s="479"/>
      <c r="G5" s="479"/>
      <c r="H5" s="479"/>
      <c r="I5" s="479"/>
      <c r="J5" s="479"/>
      <c r="K5" s="406"/>
      <c r="L5" s="407"/>
      <c r="M5" s="407"/>
      <c r="N5" s="407"/>
      <c r="O5" s="407"/>
      <c r="P5" s="407"/>
      <c r="Q5" s="407"/>
      <c r="R5" s="74"/>
      <c r="S5" s="75"/>
    </row>
    <row r="6" spans="2:19" ht="15" customHeight="1">
      <c r="B6" s="73"/>
      <c r="C6" s="74"/>
      <c r="D6" s="76" t="s">
        <v>64</v>
      </c>
      <c r="E6" s="77"/>
      <c r="F6" s="77"/>
      <c r="G6" s="78" t="str">
        <f>IF(ISBLANK('1. Instructions'!E6),"Please enter School Name on Tab 1.",'1. Instructions'!E6)</f>
        <v>Promise Prep </v>
      </c>
      <c r="H6" s="79"/>
      <c r="I6" s="80"/>
      <c r="J6" s="79"/>
      <c r="K6" s="79"/>
      <c r="L6" s="79"/>
      <c r="M6" s="79"/>
      <c r="N6" s="79"/>
      <c r="O6" s="79"/>
      <c r="P6" s="79"/>
      <c r="Q6" s="79"/>
      <c r="R6" s="79"/>
      <c r="S6" s="75"/>
    </row>
    <row r="7" spans="2:19" ht="15" customHeight="1">
      <c r="B7" s="73"/>
      <c r="C7" s="74"/>
      <c r="D7" s="76" t="s">
        <v>513</v>
      </c>
      <c r="E7" s="81"/>
      <c r="F7" s="81"/>
      <c r="G7" s="82" t="str">
        <f>IF(ISNUMBER(SEARCH("Select from drop-down list →",'1. Instructions'!E7)),"Please enter School Location on Tab 1.",'1. Instructions'!E7)</f>
        <v>M S D Lawrence Township</v>
      </c>
      <c r="H7" s="79"/>
      <c r="I7" s="80"/>
      <c r="J7" s="396"/>
      <c r="K7" s="396"/>
      <c r="L7" s="396"/>
      <c r="M7" s="396"/>
      <c r="N7" s="396"/>
      <c r="O7" s="396"/>
      <c r="P7" s="396"/>
      <c r="Q7" s="396"/>
      <c r="R7" s="79"/>
      <c r="S7" s="75"/>
    </row>
    <row r="8" spans="2:19" ht="15" customHeight="1">
      <c r="B8" s="73"/>
      <c r="C8" s="74"/>
      <c r="D8" s="76" t="s">
        <v>515</v>
      </c>
      <c r="E8" s="81"/>
      <c r="F8" s="81"/>
      <c r="G8" s="82" t="str">
        <f>'1. Instructions'!E8</f>
        <v>2024 - 25 SY</v>
      </c>
      <c r="H8" s="79"/>
      <c r="I8" s="80"/>
      <c r="J8" s="396"/>
      <c r="K8" s="396"/>
      <c r="L8" s="396"/>
      <c r="M8" s="396"/>
      <c r="N8" s="396"/>
      <c r="O8" s="396"/>
      <c r="P8" s="396"/>
      <c r="Q8" s="396"/>
      <c r="R8" s="79"/>
      <c r="S8" s="75"/>
    </row>
    <row r="9" spans="2:19" ht="15" customHeight="1">
      <c r="B9" s="73"/>
      <c r="C9" s="74"/>
      <c r="D9" s="76"/>
      <c r="E9" s="81"/>
      <c r="F9" s="81"/>
      <c r="G9" s="82"/>
      <c r="H9" s="79"/>
      <c r="I9" s="80"/>
      <c r="J9" s="396"/>
      <c r="K9" s="396"/>
      <c r="L9" s="396"/>
      <c r="M9" s="396"/>
      <c r="N9" s="396"/>
      <c r="O9" s="396"/>
      <c r="P9" s="396"/>
      <c r="Q9" s="396"/>
      <c r="R9" s="79"/>
      <c r="S9" s="75"/>
    </row>
    <row r="10" spans="2:19" ht="15" customHeight="1">
      <c r="B10" s="73"/>
      <c r="C10" s="74"/>
      <c r="D10" s="76" t="s">
        <v>517</v>
      </c>
      <c r="E10" s="81"/>
      <c r="F10" s="81"/>
      <c r="G10" s="480" t="s">
        <v>400</v>
      </c>
      <c r="H10" s="481"/>
      <c r="I10" s="246"/>
      <c r="J10" s="388">
        <f>IF((ISNUMBER(SEARCH("Select from drop-down list →",G10))),"",IF((ISNUMBER(SEARCH("No",G10))),"Do not complete Row 32.","Complete Rows 32 and 37-40 only."))</f>
      </c>
      <c r="K10" s="408"/>
      <c r="L10" s="408"/>
      <c r="M10" s="408"/>
      <c r="N10" s="408"/>
      <c r="O10" s="408"/>
      <c r="P10" s="408"/>
      <c r="Q10" s="408"/>
      <c r="R10" s="79"/>
      <c r="S10" s="75"/>
    </row>
    <row r="11" spans="2:19" ht="15" customHeight="1">
      <c r="B11" s="73"/>
      <c r="C11" s="74"/>
      <c r="D11" s="248"/>
      <c r="E11" s="81"/>
      <c r="F11" s="81"/>
      <c r="G11" s="82"/>
      <c r="H11" s="246"/>
      <c r="J11" s="409"/>
      <c r="K11" s="410"/>
      <c r="L11" s="411"/>
      <c r="M11" s="411"/>
      <c r="N11" s="411"/>
      <c r="O11" s="411"/>
      <c r="P11" s="411"/>
      <c r="Q11" s="411"/>
      <c r="R11" s="79"/>
      <c r="S11" s="75"/>
    </row>
    <row r="12" spans="2:19" ht="15" customHeight="1">
      <c r="B12" s="73"/>
      <c r="C12" s="74"/>
      <c r="D12" s="58"/>
      <c r="E12" s="58"/>
      <c r="F12" s="58"/>
      <c r="G12" s="58"/>
      <c r="H12" s="58"/>
      <c r="I12" s="58"/>
      <c r="J12" s="58"/>
      <c r="K12" s="58"/>
      <c r="L12" s="58"/>
      <c r="M12" s="58"/>
      <c r="N12" s="58"/>
      <c r="O12" s="58"/>
      <c r="P12" s="58"/>
      <c r="Q12" s="58"/>
      <c r="R12" s="58"/>
      <c r="S12" s="75"/>
    </row>
    <row r="13" spans="2:19" ht="15" customHeight="1">
      <c r="B13" s="73"/>
      <c r="C13" s="83"/>
      <c r="D13" s="84" t="s">
        <v>84</v>
      </c>
      <c r="E13" s="84" t="s">
        <v>518</v>
      </c>
      <c r="F13" s="84" t="s">
        <v>7</v>
      </c>
      <c r="G13" s="84" t="s">
        <v>8</v>
      </c>
      <c r="H13" s="84" t="s">
        <v>9</v>
      </c>
      <c r="I13" s="84" t="s">
        <v>10</v>
      </c>
      <c r="J13" s="85" t="s">
        <v>11</v>
      </c>
      <c r="K13" s="84"/>
      <c r="L13" s="463" t="s">
        <v>520</v>
      </c>
      <c r="M13" s="464"/>
      <c r="N13" s="464"/>
      <c r="O13" s="464"/>
      <c r="P13" s="464"/>
      <c r="Q13" s="464"/>
      <c r="R13" s="86"/>
      <c r="S13" s="75"/>
    </row>
    <row r="14" spans="2:19" ht="15" customHeight="1">
      <c r="B14" s="73"/>
      <c r="C14" s="87"/>
      <c r="D14" s="88"/>
      <c r="E14" s="84" t="str">
        <f ca="1">YEAR(TODAY())&amp;" - "&amp;((YEAR(TODAY())+1)-2000)&amp;" SY"</f>
        <v>2023 - 24 SY</v>
      </c>
      <c r="F14" s="84" t="str">
        <f ca="1">YEAR(TODAY())+1&amp;" - "&amp;((YEAR(TODAY())+2)-2000)&amp;" SY"</f>
        <v>2024 - 25 SY</v>
      </c>
      <c r="G14" s="84" t="str">
        <f ca="1">YEAR(TODAY())+2&amp;" - "&amp;((YEAR(TODAY())+3)-2000)&amp;" SY"</f>
        <v>2025 - 26 SY</v>
      </c>
      <c r="H14" s="84" t="str">
        <f ca="1">YEAR(TODAY())+3&amp;" - "&amp;((YEAR(TODAY())+4)-2000)&amp;" SY"</f>
        <v>2026 - 27 SY</v>
      </c>
      <c r="I14" s="84" t="str">
        <f ca="1">YEAR(TODAY())+4&amp;" - "&amp;((YEAR(TODAY())+5)-2000)&amp;" SY"</f>
        <v>2027 - 28 SY</v>
      </c>
      <c r="J14" s="84" t="str">
        <f ca="1">YEAR(TODAY())+5&amp;" - "&amp;((YEAR(TODAY())+6)-2000)&amp;" SY"</f>
        <v>2028 - 29 SY</v>
      </c>
      <c r="K14" s="88"/>
      <c r="L14" s="401"/>
      <c r="M14" s="412"/>
      <c r="N14" s="412"/>
      <c r="O14" s="412"/>
      <c r="P14" s="412"/>
      <c r="Q14" s="412"/>
      <c r="R14" s="89"/>
      <c r="S14" s="75"/>
    </row>
    <row r="15" spans="2:19" ht="15" customHeight="1">
      <c r="B15" s="73"/>
      <c r="C15" s="87"/>
      <c r="D15" s="88"/>
      <c r="E15" s="88"/>
      <c r="F15" s="88"/>
      <c r="G15" s="88"/>
      <c r="H15" s="88"/>
      <c r="I15" s="88"/>
      <c r="J15" s="402"/>
      <c r="K15" s="88"/>
      <c r="L15" s="88"/>
      <c r="M15" s="88"/>
      <c r="N15" s="88"/>
      <c r="O15" s="88"/>
      <c r="P15" s="88"/>
      <c r="Q15" s="88"/>
      <c r="R15" s="89"/>
      <c r="S15" s="75"/>
    </row>
    <row r="16" spans="2:19" ht="15" customHeight="1">
      <c r="B16" s="73"/>
      <c r="C16" s="87"/>
      <c r="D16" s="90" t="s">
        <v>66</v>
      </c>
      <c r="E16" s="91">
        <v>14</v>
      </c>
      <c r="F16" s="91">
        <v>16</v>
      </c>
      <c r="G16" s="91">
        <v>17</v>
      </c>
      <c r="H16" s="91">
        <v>18</v>
      </c>
      <c r="I16" s="91">
        <v>20</v>
      </c>
      <c r="J16" s="91">
        <v>21</v>
      </c>
      <c r="K16" s="413"/>
      <c r="L16" s="465" t="s">
        <v>534</v>
      </c>
      <c r="M16" s="466"/>
      <c r="N16" s="466"/>
      <c r="O16" s="466"/>
      <c r="P16" s="466"/>
      <c r="Q16" s="467"/>
      <c r="R16" s="241"/>
      <c r="S16" s="75"/>
    </row>
    <row r="17" spans="2:19" ht="15" customHeight="1">
      <c r="B17" s="73"/>
      <c r="C17" s="87"/>
      <c r="D17" s="90" t="s">
        <v>67</v>
      </c>
      <c r="E17" s="91">
        <v>14</v>
      </c>
      <c r="F17" s="91">
        <v>16</v>
      </c>
      <c r="G17" s="91">
        <v>17</v>
      </c>
      <c r="H17" s="91">
        <v>18</v>
      </c>
      <c r="I17" s="91">
        <v>20</v>
      </c>
      <c r="J17" s="91">
        <v>21</v>
      </c>
      <c r="K17" s="413"/>
      <c r="L17" s="468"/>
      <c r="M17" s="469"/>
      <c r="N17" s="469"/>
      <c r="O17" s="469"/>
      <c r="P17" s="469"/>
      <c r="Q17" s="470"/>
      <c r="R17" s="241"/>
      <c r="S17" s="75"/>
    </row>
    <row r="18" spans="2:19" ht="15" customHeight="1">
      <c r="B18" s="73"/>
      <c r="C18" s="87"/>
      <c r="D18" s="90" t="s">
        <v>68</v>
      </c>
      <c r="E18" s="91">
        <v>14</v>
      </c>
      <c r="F18" s="91">
        <v>16</v>
      </c>
      <c r="G18" s="91">
        <v>17</v>
      </c>
      <c r="H18" s="91">
        <v>18</v>
      </c>
      <c r="I18" s="91">
        <v>20</v>
      </c>
      <c r="J18" s="91">
        <v>22</v>
      </c>
      <c r="K18" s="413"/>
      <c r="L18" s="468"/>
      <c r="M18" s="469"/>
      <c r="N18" s="469"/>
      <c r="O18" s="469"/>
      <c r="P18" s="469"/>
      <c r="Q18" s="470"/>
      <c r="R18" s="241"/>
      <c r="S18" s="75"/>
    </row>
    <row r="19" spans="2:19" ht="15" customHeight="1">
      <c r="B19" s="73"/>
      <c r="C19" s="87"/>
      <c r="D19" s="90" t="s">
        <v>69</v>
      </c>
      <c r="E19" s="91">
        <v>14</v>
      </c>
      <c r="F19" s="91">
        <v>15</v>
      </c>
      <c r="G19" s="91">
        <v>17</v>
      </c>
      <c r="H19" s="91">
        <v>19</v>
      </c>
      <c r="I19" s="91">
        <v>20</v>
      </c>
      <c r="J19" s="91">
        <v>22</v>
      </c>
      <c r="K19" s="413"/>
      <c r="L19" s="468"/>
      <c r="M19" s="469"/>
      <c r="N19" s="469"/>
      <c r="O19" s="469"/>
      <c r="P19" s="469"/>
      <c r="Q19" s="470"/>
      <c r="R19" s="241"/>
      <c r="S19" s="75"/>
    </row>
    <row r="20" spans="2:19" ht="15" customHeight="1">
      <c r="B20" s="73"/>
      <c r="C20" s="87"/>
      <c r="D20" s="90" t="s">
        <v>70</v>
      </c>
      <c r="E20" s="91">
        <v>14</v>
      </c>
      <c r="F20" s="91">
        <v>15</v>
      </c>
      <c r="G20" s="91">
        <v>17</v>
      </c>
      <c r="H20" s="91">
        <v>19</v>
      </c>
      <c r="I20" s="91">
        <v>20</v>
      </c>
      <c r="J20" s="91">
        <v>22</v>
      </c>
      <c r="K20" s="413"/>
      <c r="L20" s="468"/>
      <c r="M20" s="469"/>
      <c r="N20" s="469"/>
      <c r="O20" s="469"/>
      <c r="P20" s="469"/>
      <c r="Q20" s="470"/>
      <c r="R20" s="241"/>
      <c r="S20" s="75"/>
    </row>
    <row r="21" spans="2:19" ht="15" customHeight="1">
      <c r="B21" s="73"/>
      <c r="C21" s="87"/>
      <c r="D21" s="90" t="s">
        <v>71</v>
      </c>
      <c r="E21" s="91">
        <v>15</v>
      </c>
      <c r="F21" s="91">
        <v>16</v>
      </c>
      <c r="G21" s="91">
        <v>17</v>
      </c>
      <c r="H21" s="91">
        <v>19</v>
      </c>
      <c r="I21" s="91">
        <v>20</v>
      </c>
      <c r="J21" s="91">
        <v>21</v>
      </c>
      <c r="K21" s="413"/>
      <c r="L21" s="468"/>
      <c r="M21" s="469"/>
      <c r="N21" s="469"/>
      <c r="O21" s="469"/>
      <c r="P21" s="469"/>
      <c r="Q21" s="470"/>
      <c r="R21" s="241"/>
      <c r="S21" s="75"/>
    </row>
    <row r="22" spans="2:19" ht="15" customHeight="1">
      <c r="B22" s="73"/>
      <c r="C22" s="87"/>
      <c r="D22" s="90" t="s">
        <v>72</v>
      </c>
      <c r="E22" s="91">
        <v>15</v>
      </c>
      <c r="F22" s="91">
        <v>16</v>
      </c>
      <c r="G22" s="91">
        <v>18</v>
      </c>
      <c r="H22" s="91">
        <v>19</v>
      </c>
      <c r="I22" s="91">
        <v>20</v>
      </c>
      <c r="J22" s="91">
        <v>21</v>
      </c>
      <c r="K22" s="413"/>
      <c r="L22" s="468"/>
      <c r="M22" s="469"/>
      <c r="N22" s="469"/>
      <c r="O22" s="469"/>
      <c r="P22" s="469"/>
      <c r="Q22" s="470"/>
      <c r="R22" s="241"/>
      <c r="S22" s="75"/>
    </row>
    <row r="23" spans="2:19" ht="15" customHeight="1">
      <c r="B23" s="73"/>
      <c r="C23" s="87"/>
      <c r="D23" s="90" t="s">
        <v>73</v>
      </c>
      <c r="E23" s="91"/>
      <c r="F23" s="91"/>
      <c r="G23" s="91"/>
      <c r="H23" s="91"/>
      <c r="I23" s="91"/>
      <c r="J23" s="91"/>
      <c r="K23" s="413"/>
      <c r="L23" s="468"/>
      <c r="M23" s="469"/>
      <c r="N23" s="469"/>
      <c r="O23" s="469"/>
      <c r="P23" s="469"/>
      <c r="Q23" s="470"/>
      <c r="R23" s="241"/>
      <c r="S23" s="75"/>
    </row>
    <row r="24" spans="2:19" ht="15" customHeight="1">
      <c r="B24" s="73"/>
      <c r="C24" s="87"/>
      <c r="D24" s="90" t="s">
        <v>74</v>
      </c>
      <c r="E24" s="91"/>
      <c r="F24" s="91"/>
      <c r="G24" s="91"/>
      <c r="H24" s="91"/>
      <c r="I24" s="91"/>
      <c r="J24" s="91"/>
      <c r="K24" s="413"/>
      <c r="L24" s="468"/>
      <c r="M24" s="469"/>
      <c r="N24" s="469"/>
      <c r="O24" s="469"/>
      <c r="P24" s="469"/>
      <c r="Q24" s="470"/>
      <c r="R24" s="241"/>
      <c r="S24" s="75"/>
    </row>
    <row r="25" spans="2:19" ht="15" customHeight="1">
      <c r="B25" s="73"/>
      <c r="C25" s="87"/>
      <c r="D25" s="90" t="s">
        <v>75</v>
      </c>
      <c r="E25" s="91"/>
      <c r="F25" s="91"/>
      <c r="G25" s="91"/>
      <c r="H25" s="91"/>
      <c r="I25" s="91"/>
      <c r="J25" s="91"/>
      <c r="K25" s="413"/>
      <c r="L25" s="468"/>
      <c r="M25" s="469"/>
      <c r="N25" s="469"/>
      <c r="O25" s="469"/>
      <c r="P25" s="469"/>
      <c r="Q25" s="470"/>
      <c r="R25" s="241"/>
      <c r="S25" s="75"/>
    </row>
    <row r="26" spans="2:19" ht="15" customHeight="1">
      <c r="B26" s="73"/>
      <c r="C26" s="87"/>
      <c r="D26" s="90" t="s">
        <v>76</v>
      </c>
      <c r="E26" s="91"/>
      <c r="F26" s="91"/>
      <c r="G26" s="91"/>
      <c r="H26" s="91"/>
      <c r="I26" s="91"/>
      <c r="J26" s="91"/>
      <c r="K26" s="413"/>
      <c r="L26" s="468"/>
      <c r="M26" s="469"/>
      <c r="N26" s="469"/>
      <c r="O26" s="469"/>
      <c r="P26" s="469"/>
      <c r="Q26" s="470"/>
      <c r="R26" s="241"/>
      <c r="S26" s="75"/>
    </row>
    <row r="27" spans="2:19" ht="15" customHeight="1">
      <c r="B27" s="73"/>
      <c r="C27" s="87"/>
      <c r="D27" s="90" t="s">
        <v>77</v>
      </c>
      <c r="E27" s="91"/>
      <c r="F27" s="91"/>
      <c r="G27" s="91"/>
      <c r="H27" s="91"/>
      <c r="I27" s="91"/>
      <c r="J27" s="91"/>
      <c r="K27" s="413"/>
      <c r="L27" s="468"/>
      <c r="M27" s="469"/>
      <c r="N27" s="469"/>
      <c r="O27" s="469"/>
      <c r="P27" s="469"/>
      <c r="Q27" s="470"/>
      <c r="R27" s="241"/>
      <c r="S27" s="75"/>
    </row>
    <row r="28" spans="2:19" ht="15" customHeight="1">
      <c r="B28" s="73"/>
      <c r="C28" s="87"/>
      <c r="D28" s="90" t="s">
        <v>78</v>
      </c>
      <c r="E28" s="91"/>
      <c r="F28" s="91"/>
      <c r="G28" s="91"/>
      <c r="H28" s="91"/>
      <c r="I28" s="91"/>
      <c r="J28" s="91"/>
      <c r="K28" s="413"/>
      <c r="L28" s="468"/>
      <c r="M28" s="469"/>
      <c r="N28" s="469"/>
      <c r="O28" s="469"/>
      <c r="P28" s="469"/>
      <c r="Q28" s="470"/>
      <c r="R28" s="241"/>
      <c r="S28" s="75"/>
    </row>
    <row r="29" spans="2:21" ht="15" customHeight="1">
      <c r="B29" s="73"/>
      <c r="C29" s="87"/>
      <c r="D29" s="239"/>
      <c r="E29" s="414"/>
      <c r="F29" s="414"/>
      <c r="G29" s="414"/>
      <c r="H29" s="414"/>
      <c r="I29" s="414"/>
      <c r="J29" s="414"/>
      <c r="K29" s="239"/>
      <c r="L29" s="468"/>
      <c r="M29" s="469"/>
      <c r="N29" s="469"/>
      <c r="O29" s="469"/>
      <c r="P29" s="469"/>
      <c r="Q29" s="470"/>
      <c r="R29" s="241"/>
      <c r="S29" s="75"/>
      <c r="U29" s="251"/>
    </row>
    <row r="30" spans="2:19" ht="15" customHeight="1">
      <c r="B30" s="73"/>
      <c r="C30" s="87"/>
      <c r="D30" s="88" t="s">
        <v>408</v>
      </c>
      <c r="E30" s="256">
        <f aca="true" t="shared" si="0" ref="E30:J30">SUM(E16:E28)</f>
        <v>100</v>
      </c>
      <c r="F30" s="256">
        <f t="shared" si="0"/>
        <v>110</v>
      </c>
      <c r="G30" s="256">
        <f t="shared" si="0"/>
        <v>120</v>
      </c>
      <c r="H30" s="256">
        <f t="shared" si="0"/>
        <v>130</v>
      </c>
      <c r="I30" s="256">
        <f t="shared" si="0"/>
        <v>140</v>
      </c>
      <c r="J30" s="256">
        <f t="shared" si="0"/>
        <v>150</v>
      </c>
      <c r="K30" s="239"/>
      <c r="L30" s="468"/>
      <c r="M30" s="469"/>
      <c r="N30" s="469"/>
      <c r="O30" s="469"/>
      <c r="P30" s="469"/>
      <c r="Q30" s="470"/>
      <c r="R30" s="241"/>
      <c r="S30" s="75"/>
    </row>
    <row r="31" spans="2:19" ht="15" customHeight="1">
      <c r="B31" s="73"/>
      <c r="C31" s="240"/>
      <c r="D31" s="239"/>
      <c r="E31" s="239"/>
      <c r="F31" s="239"/>
      <c r="G31" s="239"/>
      <c r="H31" s="239"/>
      <c r="I31" s="239"/>
      <c r="J31" s="239"/>
      <c r="K31" s="239"/>
      <c r="L31" s="468"/>
      <c r="M31" s="469"/>
      <c r="N31" s="469"/>
      <c r="O31" s="469"/>
      <c r="P31" s="469"/>
      <c r="Q31" s="470"/>
      <c r="R31" s="241"/>
      <c r="S31" s="75"/>
    </row>
    <row r="32" spans="2:24" ht="15" customHeight="1">
      <c r="B32" s="73"/>
      <c r="C32" s="87"/>
      <c r="D32" s="90" t="s">
        <v>421</v>
      </c>
      <c r="E32" s="238"/>
      <c r="F32" s="238"/>
      <c r="G32" s="238"/>
      <c r="H32" s="238"/>
      <c r="I32" s="238"/>
      <c r="J32" s="238"/>
      <c r="K32" s="413"/>
      <c r="L32" s="468"/>
      <c r="M32" s="469"/>
      <c r="N32" s="469"/>
      <c r="O32" s="469"/>
      <c r="P32" s="469"/>
      <c r="Q32" s="470"/>
      <c r="R32" s="94"/>
      <c r="S32" s="75"/>
      <c r="X32" s="97"/>
    </row>
    <row r="33" spans="2:19" ht="15" customHeight="1">
      <c r="B33" s="73"/>
      <c r="C33" s="87"/>
      <c r="D33" s="239"/>
      <c r="E33" s="414"/>
      <c r="F33" s="414"/>
      <c r="G33" s="414"/>
      <c r="H33" s="414"/>
      <c r="I33" s="414"/>
      <c r="J33" s="414"/>
      <c r="K33" s="239"/>
      <c r="L33" s="468"/>
      <c r="M33" s="469"/>
      <c r="N33" s="469"/>
      <c r="O33" s="469"/>
      <c r="P33" s="469"/>
      <c r="Q33" s="470"/>
      <c r="R33" s="94"/>
      <c r="S33" s="75"/>
    </row>
    <row r="34" spans="2:19" ht="15" customHeight="1">
      <c r="B34" s="73"/>
      <c r="C34" s="87"/>
      <c r="D34" s="88" t="s">
        <v>407</v>
      </c>
      <c r="E34" s="255">
        <f aca="true" t="shared" si="1" ref="E34:J34">E32</f>
        <v>0</v>
      </c>
      <c r="F34" s="255">
        <f t="shared" si="1"/>
        <v>0</v>
      </c>
      <c r="G34" s="255">
        <f t="shared" si="1"/>
        <v>0</v>
      </c>
      <c r="H34" s="255">
        <f t="shared" si="1"/>
        <v>0</v>
      </c>
      <c r="I34" s="255">
        <f t="shared" si="1"/>
        <v>0</v>
      </c>
      <c r="J34" s="255">
        <f t="shared" si="1"/>
        <v>0</v>
      </c>
      <c r="K34" s="93"/>
      <c r="L34" s="468"/>
      <c r="M34" s="469"/>
      <c r="N34" s="469"/>
      <c r="O34" s="469"/>
      <c r="P34" s="469"/>
      <c r="Q34" s="470"/>
      <c r="R34" s="94"/>
      <c r="S34" s="75"/>
    </row>
    <row r="35" spans="2:22" ht="15" customHeight="1">
      <c r="B35" s="73"/>
      <c r="C35" s="87"/>
      <c r="D35" s="92"/>
      <c r="E35" s="93"/>
      <c r="F35" s="93"/>
      <c r="G35" s="93"/>
      <c r="H35" s="93"/>
      <c r="I35" s="93"/>
      <c r="J35" s="93"/>
      <c r="K35" s="93"/>
      <c r="L35" s="468"/>
      <c r="M35" s="469"/>
      <c r="N35" s="469"/>
      <c r="O35" s="469"/>
      <c r="P35" s="469"/>
      <c r="Q35" s="470"/>
      <c r="R35" s="94"/>
      <c r="S35" s="75"/>
      <c r="V35" s="97"/>
    </row>
    <row r="36" spans="2:26" ht="15" customHeight="1">
      <c r="B36" s="73"/>
      <c r="C36" s="87"/>
      <c r="D36" s="242" t="s">
        <v>423</v>
      </c>
      <c r="E36" s="93"/>
      <c r="F36" s="93"/>
      <c r="G36" s="93"/>
      <c r="H36" s="93"/>
      <c r="I36" s="93"/>
      <c r="J36" s="245"/>
      <c r="K36" s="93"/>
      <c r="L36" s="468"/>
      <c r="M36" s="469"/>
      <c r="N36" s="469"/>
      <c r="O36" s="469"/>
      <c r="P36" s="469"/>
      <c r="Q36" s="470"/>
      <c r="R36" s="94"/>
      <c r="S36" s="75"/>
      <c r="Y36" s="398"/>
      <c r="Z36" s="398"/>
    </row>
    <row r="37" spans="2:26" ht="14.25" customHeight="1">
      <c r="B37" s="73"/>
      <c r="C37" s="87"/>
      <c r="D37" s="243" t="s">
        <v>417</v>
      </c>
      <c r="E37" s="249">
        <v>0.15</v>
      </c>
      <c r="F37" s="249">
        <v>0.15</v>
      </c>
      <c r="G37" s="249">
        <v>0.15</v>
      </c>
      <c r="H37" s="249">
        <v>0.15</v>
      </c>
      <c r="I37" s="249">
        <v>0.15</v>
      </c>
      <c r="J37" s="249">
        <v>0.15</v>
      </c>
      <c r="K37" s="415"/>
      <c r="L37" s="468"/>
      <c r="M37" s="469"/>
      <c r="N37" s="469"/>
      <c r="O37" s="469"/>
      <c r="P37" s="469"/>
      <c r="Q37" s="470"/>
      <c r="R37" s="94"/>
      <c r="S37" s="75"/>
      <c r="Y37" s="95"/>
      <c r="Z37" s="95"/>
    </row>
    <row r="38" spans="2:26" ht="14.25" customHeight="1">
      <c r="B38" s="73"/>
      <c r="C38" s="87"/>
      <c r="D38" s="243" t="s">
        <v>418</v>
      </c>
      <c r="E38" s="249">
        <v>0.25</v>
      </c>
      <c r="F38" s="249">
        <v>0.25</v>
      </c>
      <c r="G38" s="249">
        <v>0.25</v>
      </c>
      <c r="H38" s="249">
        <v>0.25</v>
      </c>
      <c r="I38" s="249">
        <v>0.25</v>
      </c>
      <c r="J38" s="249">
        <v>0.25</v>
      </c>
      <c r="K38" s="415"/>
      <c r="L38" s="468"/>
      <c r="M38" s="469"/>
      <c r="N38" s="469"/>
      <c r="O38" s="469"/>
      <c r="P38" s="469"/>
      <c r="Q38" s="470"/>
      <c r="R38" s="94"/>
      <c r="S38" s="75"/>
      <c r="V38" s="250"/>
      <c r="Y38" s="398"/>
      <c r="Z38" s="398"/>
    </row>
    <row r="39" spans="2:26" ht="14.25" customHeight="1">
      <c r="B39" s="73"/>
      <c r="C39" s="87"/>
      <c r="D39" s="244" t="s">
        <v>521</v>
      </c>
      <c r="E39" s="249">
        <v>0.74</v>
      </c>
      <c r="F39" s="249">
        <v>0.74</v>
      </c>
      <c r="G39" s="249">
        <v>0.74</v>
      </c>
      <c r="H39" s="249">
        <v>0.74</v>
      </c>
      <c r="I39" s="249">
        <v>0.74</v>
      </c>
      <c r="J39" s="249">
        <v>0.74</v>
      </c>
      <c r="K39" s="415"/>
      <c r="L39" s="468"/>
      <c r="M39" s="469"/>
      <c r="N39" s="469"/>
      <c r="O39" s="469"/>
      <c r="P39" s="469"/>
      <c r="Q39" s="470"/>
      <c r="R39" s="94"/>
      <c r="S39" s="75"/>
      <c r="Y39" s="95"/>
      <c r="Z39" s="95"/>
    </row>
    <row r="40" spans="2:26" ht="14.25" customHeight="1">
      <c r="B40" s="73"/>
      <c r="C40" s="87"/>
      <c r="D40" s="243" t="s">
        <v>422</v>
      </c>
      <c r="E40" s="249">
        <v>0</v>
      </c>
      <c r="F40" s="249">
        <v>0</v>
      </c>
      <c r="G40" s="249">
        <v>0</v>
      </c>
      <c r="H40" s="249">
        <v>0</v>
      </c>
      <c r="I40" s="249">
        <v>0</v>
      </c>
      <c r="J40" s="249">
        <v>0</v>
      </c>
      <c r="K40" s="415"/>
      <c r="L40" s="468"/>
      <c r="M40" s="469"/>
      <c r="N40" s="469"/>
      <c r="O40" s="469"/>
      <c r="P40" s="469"/>
      <c r="Q40" s="470"/>
      <c r="R40" s="94"/>
      <c r="S40" s="75"/>
      <c r="Z40" s="95"/>
    </row>
    <row r="41" spans="2:26" ht="15" customHeight="1">
      <c r="B41" s="73"/>
      <c r="C41" s="87"/>
      <c r="D41" s="243"/>
      <c r="E41" s="93"/>
      <c r="F41" s="93"/>
      <c r="G41" s="93"/>
      <c r="H41" s="93"/>
      <c r="I41" s="93"/>
      <c r="J41" s="93"/>
      <c r="K41" s="93"/>
      <c r="L41" s="468"/>
      <c r="M41" s="469"/>
      <c r="N41" s="469"/>
      <c r="O41" s="469"/>
      <c r="P41" s="469"/>
      <c r="Q41" s="470"/>
      <c r="R41" s="94"/>
      <c r="S41" s="75"/>
      <c r="W41" s="97"/>
      <c r="Z41" s="95"/>
    </row>
    <row r="42" spans="2:26" ht="15" customHeight="1">
      <c r="B42" s="73"/>
      <c r="C42" s="87"/>
      <c r="D42" s="92" t="s">
        <v>419</v>
      </c>
      <c r="E42" s="96">
        <f>(((E30*E40)*(CONTROL!$K$17*0.85))+((E30*(1-E40))*CONTROL!$K$17))+(E30*((_xlfn.IFERROR(VLOOKUP('1. Instructions'!$E$7,CONTROL!$C$17:$G$305,4,FALSE),0))*CONTROL!$K$18))</f>
        <v>768539.04</v>
      </c>
      <c r="F42" s="96">
        <f>(((F30*F40)*(CONTROL!$K$17*0.85))+((F30*(1-F40))*CONTROL!$K$17))+(F30*((_xlfn.IFERROR(VLOOKUP('1. Instructions'!$E$7,CONTROL!$C$17:$G$305,4,FALSE),0))*CONTROL!$K$18))</f>
        <v>845392.944</v>
      </c>
      <c r="G42" s="96">
        <f>(((G30*G40)*(CONTROL!$K$17*0.85))+((G30*(1-G40))*CONTROL!$K$17))+(G30*((_xlfn.IFERROR(VLOOKUP('1. Instructions'!$E$7,CONTROL!$C$17:$G$305,4,FALSE),0))*CONTROL!$K$18))</f>
        <v>922246.848</v>
      </c>
      <c r="H42" s="96">
        <f>(((H30*H40)*(CONTROL!$K$17*0.85))+((H30*(1-H40))*CONTROL!$K$17))+(H30*((_xlfn.IFERROR(VLOOKUP('1. Instructions'!$E$7,CONTROL!$C$17:$G$305,4,FALSE),0))*CONTROL!$K$18))</f>
        <v>999100.752</v>
      </c>
      <c r="I42" s="96">
        <f>(((I30*I40)*(CONTROL!$K$17*0.85))+((I30*(1-I40))*CONTROL!$K$17))+(I30*((_xlfn.IFERROR(VLOOKUP('1. Instructions'!$E$7,CONTROL!$C$17:$G$305,4,FALSE),0))*CONTROL!$K$18))</f>
        <v>1075954.656</v>
      </c>
      <c r="J42" s="96">
        <f>(((J30*J40)*(CONTROL!$K$17*0.85))+((J30*(1-J40))*CONTROL!$K$17))+(J30*((_xlfn.IFERROR(VLOOKUP('1. Instructions'!$E$7,CONTROL!$C$17:$G$305,4,FALSE),0))*CONTROL!$K$18))</f>
        <v>1152808.56</v>
      </c>
      <c r="K42" s="252"/>
      <c r="L42" s="468"/>
      <c r="M42" s="469"/>
      <c r="N42" s="469"/>
      <c r="O42" s="469"/>
      <c r="P42" s="469"/>
      <c r="Q42" s="470"/>
      <c r="R42" s="94"/>
      <c r="S42" s="75"/>
      <c r="Y42" s="95"/>
      <c r="Z42" s="95"/>
    </row>
    <row r="43" spans="2:26" ht="15" customHeight="1">
      <c r="B43" s="73"/>
      <c r="C43" s="87"/>
      <c r="E43" s="246"/>
      <c r="F43" s="246"/>
      <c r="G43" s="246"/>
      <c r="H43" s="246"/>
      <c r="I43" s="246"/>
      <c r="J43" s="246"/>
      <c r="K43" s="252"/>
      <c r="L43" s="468"/>
      <c r="M43" s="469"/>
      <c r="N43" s="469"/>
      <c r="O43" s="469"/>
      <c r="P43" s="469"/>
      <c r="Q43" s="470"/>
      <c r="R43" s="94"/>
      <c r="S43" s="75"/>
      <c r="Y43" s="95"/>
      <c r="Z43" s="95"/>
    </row>
    <row r="44" spans="2:26" ht="15" customHeight="1">
      <c r="B44" s="73"/>
      <c r="C44" s="87"/>
      <c r="D44" s="92" t="s">
        <v>420</v>
      </c>
      <c r="E44" s="96">
        <f>CONTROL!$K$21*E34</f>
        <v>0</v>
      </c>
      <c r="F44" s="96">
        <f>CONTROL!$K$21*F34</f>
        <v>0</v>
      </c>
      <c r="G44" s="96">
        <f>CONTROL!$K$21*G34</f>
        <v>0</v>
      </c>
      <c r="H44" s="96">
        <f>CONTROL!$K$21*H34</f>
        <v>0</v>
      </c>
      <c r="I44" s="96">
        <f>CONTROL!$K$21*I34</f>
        <v>0</v>
      </c>
      <c r="J44" s="96">
        <f>CONTROL!$K$21*J34</f>
        <v>0</v>
      </c>
      <c r="K44" s="416"/>
      <c r="L44" s="468"/>
      <c r="M44" s="469"/>
      <c r="N44" s="469"/>
      <c r="O44" s="469"/>
      <c r="P44" s="469"/>
      <c r="Q44" s="470"/>
      <c r="R44" s="94"/>
      <c r="S44" s="75"/>
      <c r="Y44" s="95"/>
      <c r="Z44" s="95"/>
    </row>
    <row r="45" spans="2:26" ht="15" customHeight="1">
      <c r="B45" s="73"/>
      <c r="C45" s="87"/>
      <c r="D45" s="92"/>
      <c r="E45" s="93"/>
      <c r="F45" s="93"/>
      <c r="G45" s="93"/>
      <c r="H45" s="93"/>
      <c r="I45" s="93"/>
      <c r="J45" s="93"/>
      <c r="K45" s="93"/>
      <c r="L45" s="468"/>
      <c r="M45" s="469"/>
      <c r="N45" s="469"/>
      <c r="O45" s="469"/>
      <c r="P45" s="469"/>
      <c r="Q45" s="470"/>
      <c r="R45" s="94"/>
      <c r="S45" s="75"/>
      <c r="Y45" s="95"/>
      <c r="Z45" s="95"/>
    </row>
    <row r="46" spans="2:26" ht="15" customHeight="1">
      <c r="B46" s="73"/>
      <c r="C46" s="87"/>
      <c r="D46" s="253"/>
      <c r="E46" s="387">
        <f>IF(AND((SUM(E42:J42)&gt;0),(SUM(E44:J44)&gt;0)),"ERROR: Please complete EITHER Rows 15-27 OR Row 31, not both.","")</f>
      </c>
      <c r="F46" s="387"/>
      <c r="G46" s="41"/>
      <c r="H46" s="41"/>
      <c r="I46" s="41"/>
      <c r="J46" s="41"/>
      <c r="K46" s="417"/>
      <c r="L46" s="468"/>
      <c r="M46" s="469"/>
      <c r="N46" s="469"/>
      <c r="O46" s="469"/>
      <c r="P46" s="469"/>
      <c r="Q46" s="470"/>
      <c r="R46" s="94"/>
      <c r="S46" s="75"/>
      <c r="Y46" s="95"/>
      <c r="Z46" s="95"/>
    </row>
    <row r="47" spans="2:26" ht="15" customHeight="1">
      <c r="B47" s="73"/>
      <c r="C47" s="87"/>
      <c r="D47" s="74"/>
      <c r="E47" s="74"/>
      <c r="F47" s="74"/>
      <c r="G47" s="74"/>
      <c r="H47" s="74"/>
      <c r="I47" s="74"/>
      <c r="J47" s="74"/>
      <c r="K47" s="417"/>
      <c r="L47" s="468"/>
      <c r="M47" s="469"/>
      <c r="N47" s="469"/>
      <c r="O47" s="469"/>
      <c r="P47" s="469"/>
      <c r="Q47" s="470"/>
      <c r="R47" s="94"/>
      <c r="S47" s="75"/>
      <c r="Y47" s="95"/>
      <c r="Z47" s="95"/>
    </row>
    <row r="48" spans="2:26" ht="15" customHeight="1">
      <c r="B48" s="73"/>
      <c r="C48" s="87"/>
      <c r="D48" s="246"/>
      <c r="E48" s="246"/>
      <c r="F48" s="246"/>
      <c r="G48" s="246"/>
      <c r="H48" s="246"/>
      <c r="I48" s="246"/>
      <c r="J48" s="246"/>
      <c r="K48" s="417"/>
      <c r="L48" s="468"/>
      <c r="M48" s="469"/>
      <c r="N48" s="469"/>
      <c r="O48" s="469"/>
      <c r="P48" s="469"/>
      <c r="Q48" s="470"/>
      <c r="R48" s="94"/>
      <c r="S48" s="75"/>
      <c r="Y48" s="95"/>
      <c r="Z48" s="95"/>
    </row>
    <row r="49" spans="2:26" ht="15" customHeight="1">
      <c r="B49" s="73"/>
      <c r="C49" s="87"/>
      <c r="D49" s="246"/>
      <c r="E49" s="246"/>
      <c r="F49" s="246"/>
      <c r="G49" s="246"/>
      <c r="H49" s="246"/>
      <c r="I49" s="246"/>
      <c r="J49" s="246"/>
      <c r="K49" s="417"/>
      <c r="L49" s="468"/>
      <c r="M49" s="469"/>
      <c r="N49" s="469"/>
      <c r="O49" s="469"/>
      <c r="P49" s="469"/>
      <c r="Q49" s="470"/>
      <c r="R49" s="94"/>
      <c r="S49" s="75"/>
      <c r="Y49" s="95"/>
      <c r="Z49" s="95"/>
    </row>
    <row r="50" spans="2:26" ht="15" customHeight="1">
      <c r="B50" s="73"/>
      <c r="C50" s="87"/>
      <c r="D50" s="246"/>
      <c r="E50" s="246"/>
      <c r="F50" s="246"/>
      <c r="G50" s="246"/>
      <c r="H50" s="246"/>
      <c r="I50" s="246"/>
      <c r="J50" s="246"/>
      <c r="K50" s="417"/>
      <c r="L50" s="468"/>
      <c r="M50" s="469"/>
      <c r="N50" s="469"/>
      <c r="O50" s="469"/>
      <c r="P50" s="469"/>
      <c r="Q50" s="470"/>
      <c r="R50" s="94"/>
      <c r="S50" s="75"/>
      <c r="Y50" s="95"/>
      <c r="Z50" s="95"/>
    </row>
    <row r="51" spans="2:26" ht="15" customHeight="1">
      <c r="B51" s="73"/>
      <c r="C51" s="87"/>
      <c r="D51" s="246"/>
      <c r="E51" s="246"/>
      <c r="F51" s="246"/>
      <c r="G51" s="246"/>
      <c r="H51" s="246"/>
      <c r="I51" s="246"/>
      <c r="J51" s="246"/>
      <c r="K51" s="417"/>
      <c r="L51" s="468"/>
      <c r="M51" s="469"/>
      <c r="N51" s="469"/>
      <c r="O51" s="469"/>
      <c r="P51" s="469"/>
      <c r="Q51" s="470"/>
      <c r="R51" s="94"/>
      <c r="S51" s="75"/>
      <c r="Y51" s="95"/>
      <c r="Z51" s="95"/>
    </row>
    <row r="52" spans="2:26" ht="15" customHeight="1">
      <c r="B52" s="73"/>
      <c r="C52" s="87"/>
      <c r="D52" s="246"/>
      <c r="E52" s="246"/>
      <c r="F52" s="246"/>
      <c r="G52" s="246"/>
      <c r="H52" s="246"/>
      <c r="I52" s="246"/>
      <c r="J52" s="246"/>
      <c r="K52" s="417"/>
      <c r="L52" s="471"/>
      <c r="M52" s="472"/>
      <c r="N52" s="472"/>
      <c r="O52" s="472"/>
      <c r="P52" s="472"/>
      <c r="Q52" s="473"/>
      <c r="R52" s="94"/>
      <c r="S52" s="75"/>
      <c r="Y52" s="95"/>
      <c r="Z52" s="95"/>
    </row>
    <row r="53" spans="2:26" ht="15.75" customHeight="1">
      <c r="B53" s="73"/>
      <c r="C53" s="87"/>
      <c r="D53" s="246"/>
      <c r="E53" s="246"/>
      <c r="F53" s="246"/>
      <c r="G53" s="246"/>
      <c r="H53" s="246"/>
      <c r="I53" s="246"/>
      <c r="J53" s="246"/>
      <c r="K53" s="417"/>
      <c r="L53" s="46"/>
      <c r="M53" s="46"/>
      <c r="N53" s="46"/>
      <c r="O53" s="46"/>
      <c r="P53" s="46"/>
      <c r="Q53" s="46"/>
      <c r="R53" s="98"/>
      <c r="S53" s="75"/>
      <c r="Y53" s="99"/>
      <c r="Z53" s="99"/>
    </row>
    <row r="54" spans="2:26" ht="15" customHeight="1" thickBot="1">
      <c r="B54" s="100"/>
      <c r="C54" s="254"/>
      <c r="D54" s="254"/>
      <c r="E54" s="254"/>
      <c r="F54" s="254"/>
      <c r="G54" s="254"/>
      <c r="H54" s="254"/>
      <c r="I54" s="254"/>
      <c r="J54" s="254"/>
      <c r="K54" s="254"/>
      <c r="L54" s="101"/>
      <c r="M54" s="101"/>
      <c r="N54" s="101"/>
      <c r="O54" s="101"/>
      <c r="P54" s="101"/>
      <c r="Q54" s="101"/>
      <c r="R54" s="101"/>
      <c r="S54" s="102"/>
      <c r="Y54" s="103"/>
      <c r="Z54" s="103"/>
    </row>
    <row r="55" spans="25:26" ht="15">
      <c r="Y55" s="104"/>
      <c r="Z55" s="104"/>
    </row>
  </sheetData>
  <sheetProtection password="BDDB" sheet="1" objects="1" scenarios="1" selectLockedCells="1"/>
  <mergeCells count="6">
    <mergeCell ref="L13:Q13"/>
    <mergeCell ref="L16:Q52"/>
    <mergeCell ref="D3:J3"/>
    <mergeCell ref="D4:J4"/>
    <mergeCell ref="D5:J5"/>
    <mergeCell ref="G10:H10"/>
  </mergeCells>
  <conditionalFormatting sqref="K44">
    <cfRule type="expression" priority="1" dxfId="52" stopIfTrue="1">
      <formula>K44&lt;&gt;""</formula>
    </cfRule>
  </conditionalFormatting>
  <dataValidations count="1">
    <dataValidation type="list" showInputMessage="1" showErrorMessage="1" promptTitle="Select from drop-down list →" sqref="G10">
      <formula1>AHS</formula1>
    </dataValidation>
  </dataValidation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tabColor theme="3"/>
  </sheetPr>
  <dimension ref="A1:AV140"/>
  <sheetViews>
    <sheetView zoomScalePageLayoutView="0" workbookViewId="0" topLeftCell="G9">
      <selection activeCell="O17" sqref="O17"/>
    </sheetView>
  </sheetViews>
  <sheetFormatPr defaultColWidth="15.7109375" defaultRowHeight="15"/>
  <cols>
    <col min="1" max="1" width="3.00390625" style="105" customWidth="1"/>
    <col min="2" max="3" width="3.00390625" style="110" customWidth="1"/>
    <col min="4" max="4" width="33.140625" style="110" customWidth="1"/>
    <col min="5" max="5" width="3.00390625" style="105" customWidth="1"/>
    <col min="6" max="6" width="10.7109375" style="110" customWidth="1"/>
    <col min="7" max="7" width="14.28125" style="110" customWidth="1"/>
    <col min="8" max="8" width="17.7109375" style="110" customWidth="1"/>
    <col min="9" max="9" width="3.00390625" style="106" customWidth="1"/>
    <col min="10" max="10" width="10.7109375" style="110" customWidth="1"/>
    <col min="11" max="11" width="14.28125" style="110" customWidth="1"/>
    <col min="12" max="12" width="17.7109375" style="110" customWidth="1"/>
    <col min="13" max="13" width="3.00390625" style="106" customWidth="1"/>
    <col min="14" max="14" width="10.7109375" style="110" customWidth="1"/>
    <col min="15" max="15" width="14.28125" style="110" customWidth="1"/>
    <col min="16" max="16" width="17.7109375" style="110" customWidth="1"/>
    <col min="17" max="17" width="3.00390625" style="106" customWidth="1"/>
    <col min="18" max="18" width="10.7109375" style="110" customWidth="1"/>
    <col min="19" max="19" width="14.28125" style="110" customWidth="1"/>
    <col min="20" max="20" width="17.7109375" style="110" customWidth="1"/>
    <col min="21" max="21" width="3.00390625" style="106" customWidth="1"/>
    <col min="22" max="22" width="10.7109375" style="109" customWidth="1"/>
    <col min="23" max="23" width="14.28125" style="109" customWidth="1"/>
    <col min="24" max="24" width="17.7109375" style="109" customWidth="1"/>
    <col min="25" max="25" width="3.00390625" style="106" customWidth="1"/>
    <col min="26" max="26" width="10.7109375" style="109" customWidth="1"/>
    <col min="27" max="27" width="14.28125" style="109" customWidth="1"/>
    <col min="28" max="28" width="17.7109375" style="109" customWidth="1"/>
    <col min="29" max="29" width="3.00390625" style="106" customWidth="1"/>
    <col min="30" max="30" width="3.00390625" style="109" customWidth="1"/>
    <col min="31" max="48" width="15.7109375" style="109" customWidth="1"/>
    <col min="49" max="16384" width="15.7109375" style="110" customWidth="1"/>
  </cols>
  <sheetData>
    <row r="1" spans="9:48" s="105" customFormat="1" ht="15" customHeight="1" thickBot="1">
      <c r="I1" s="106"/>
      <c r="M1" s="106"/>
      <c r="Q1" s="106"/>
      <c r="U1" s="106"/>
      <c r="V1" s="106"/>
      <c r="W1" s="106"/>
      <c r="X1" s="106"/>
      <c r="Y1" s="106"/>
      <c r="Z1" s="106"/>
      <c r="AA1" s="106"/>
      <c r="AB1" s="106"/>
      <c r="AC1" s="106"/>
      <c r="AD1" s="106"/>
      <c r="AE1" s="106"/>
      <c r="AF1" s="106"/>
      <c r="AG1" s="106"/>
      <c r="AH1" s="106"/>
      <c r="AI1" s="106"/>
      <c r="AJ1" s="106"/>
      <c r="AK1" s="106"/>
      <c r="AL1" s="106"/>
      <c r="AM1" s="106"/>
      <c r="AN1" s="106"/>
      <c r="AO1" s="106"/>
      <c r="AP1" s="106"/>
      <c r="AQ1" s="106"/>
      <c r="AR1" s="106"/>
      <c r="AS1" s="106"/>
      <c r="AT1" s="106"/>
      <c r="AU1" s="106"/>
      <c r="AV1" s="106"/>
    </row>
    <row r="2" spans="2:30" ht="15" customHeight="1">
      <c r="B2" s="107"/>
      <c r="C2" s="491" t="s">
        <v>97</v>
      </c>
      <c r="D2" s="492"/>
      <c r="E2" s="492"/>
      <c r="F2" s="492"/>
      <c r="G2" s="492"/>
      <c r="H2" s="492"/>
      <c r="I2" s="492"/>
      <c r="J2" s="492"/>
      <c r="K2" s="492"/>
      <c r="L2" s="492"/>
      <c r="M2" s="492"/>
      <c r="N2" s="492"/>
      <c r="O2" s="492"/>
      <c r="P2" s="492"/>
      <c r="Q2" s="492"/>
      <c r="R2" s="492"/>
      <c r="S2" s="492"/>
      <c r="T2" s="492"/>
      <c r="U2" s="492"/>
      <c r="V2" s="492"/>
      <c r="W2" s="492"/>
      <c r="X2" s="492"/>
      <c r="Y2" s="492"/>
      <c r="Z2" s="492"/>
      <c r="AA2" s="492"/>
      <c r="AB2" s="492"/>
      <c r="AC2" s="492"/>
      <c r="AD2" s="108"/>
    </row>
    <row r="3" spans="2:30" ht="15" customHeight="1">
      <c r="B3" s="111"/>
      <c r="C3" s="112"/>
      <c r="D3" s="113" t="s">
        <v>64</v>
      </c>
      <c r="E3" s="113"/>
      <c r="F3" s="114" t="str">
        <f>IF(ISBLANK('1. Instructions'!E6),"Please enter School Name on Tab 1.",'1. Instructions'!E6)</f>
        <v>Promise Prep </v>
      </c>
      <c r="G3" s="115"/>
      <c r="H3" s="115"/>
      <c r="I3" s="115"/>
      <c r="J3" s="115"/>
      <c r="K3" s="115"/>
      <c r="L3" s="115"/>
      <c r="M3" s="115"/>
      <c r="N3" s="115"/>
      <c r="O3" s="115"/>
      <c r="P3" s="115"/>
      <c r="Q3" s="115"/>
      <c r="R3" s="115"/>
      <c r="S3" s="115"/>
      <c r="T3" s="115"/>
      <c r="U3" s="115"/>
      <c r="V3" s="115"/>
      <c r="W3" s="115"/>
      <c r="X3" s="115"/>
      <c r="Y3" s="115"/>
      <c r="Z3" s="112"/>
      <c r="AA3" s="112"/>
      <c r="AB3" s="112"/>
      <c r="AC3" s="112"/>
      <c r="AD3" s="116"/>
    </row>
    <row r="4" spans="2:30" ht="15" customHeight="1">
      <c r="B4" s="111"/>
      <c r="C4" s="112"/>
      <c r="D4" s="113" t="s">
        <v>522</v>
      </c>
      <c r="E4" s="113"/>
      <c r="F4" s="114" t="str">
        <f>'1. Instructions'!E8</f>
        <v>2024 - 25 SY</v>
      </c>
      <c r="G4" s="115"/>
      <c r="H4" s="115"/>
      <c r="I4" s="115"/>
      <c r="J4" s="115"/>
      <c r="K4" s="115"/>
      <c r="L4" s="115"/>
      <c r="M4" s="115"/>
      <c r="N4" s="115"/>
      <c r="O4" s="115"/>
      <c r="P4" s="115"/>
      <c r="Q4" s="115"/>
      <c r="R4" s="115"/>
      <c r="S4" s="115"/>
      <c r="T4" s="115"/>
      <c r="U4" s="115"/>
      <c r="V4" s="115"/>
      <c r="W4" s="115"/>
      <c r="X4" s="115"/>
      <c r="Y4" s="115"/>
      <c r="Z4" s="112"/>
      <c r="AA4" s="112"/>
      <c r="AB4" s="112"/>
      <c r="AC4" s="112"/>
      <c r="AD4" s="116"/>
    </row>
    <row r="5" spans="2:30" ht="15" customHeight="1" thickBot="1">
      <c r="B5" s="111"/>
      <c r="C5" s="112"/>
      <c r="D5" s="113"/>
      <c r="E5" s="113"/>
      <c r="F5" s="114"/>
      <c r="G5" s="115"/>
      <c r="H5" s="115"/>
      <c r="I5" s="115"/>
      <c r="J5" s="115"/>
      <c r="K5" s="115"/>
      <c r="L5" s="115"/>
      <c r="M5" s="115"/>
      <c r="N5" s="115"/>
      <c r="O5" s="115"/>
      <c r="P5" s="115"/>
      <c r="Q5" s="115"/>
      <c r="R5" s="115"/>
      <c r="S5" s="115"/>
      <c r="T5" s="115"/>
      <c r="U5" s="115"/>
      <c r="V5" s="115"/>
      <c r="W5" s="115"/>
      <c r="X5" s="115"/>
      <c r="Y5" s="115"/>
      <c r="Z5" s="112"/>
      <c r="AA5" s="112"/>
      <c r="AB5" s="112"/>
      <c r="AC5" s="112"/>
      <c r="AD5" s="116"/>
    </row>
    <row r="6" spans="2:30" ht="15" customHeight="1" thickBot="1">
      <c r="B6" s="111"/>
      <c r="C6" s="482" t="s">
        <v>449</v>
      </c>
      <c r="D6" s="483"/>
      <c r="E6" s="483"/>
      <c r="F6" s="483"/>
      <c r="G6" s="483"/>
      <c r="H6" s="483"/>
      <c r="I6" s="483"/>
      <c r="J6" s="483"/>
      <c r="K6" s="483"/>
      <c r="L6" s="483"/>
      <c r="M6" s="483"/>
      <c r="N6" s="483"/>
      <c r="O6" s="483"/>
      <c r="P6" s="483"/>
      <c r="Q6" s="483"/>
      <c r="R6" s="483"/>
      <c r="S6" s="483"/>
      <c r="T6" s="483"/>
      <c r="U6" s="484"/>
      <c r="V6" s="115"/>
      <c r="W6" s="115"/>
      <c r="X6" s="115"/>
      <c r="Y6" s="115"/>
      <c r="Z6" s="112"/>
      <c r="AA6" s="112"/>
      <c r="AB6" s="112"/>
      <c r="AC6" s="112"/>
      <c r="AD6" s="116"/>
    </row>
    <row r="7" spans="1:48" s="121" customFormat="1" ht="13.5" customHeight="1">
      <c r="A7" s="117"/>
      <c r="B7" s="118"/>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9"/>
      <c r="AE7" s="120"/>
      <c r="AF7" s="120"/>
      <c r="AG7" s="120"/>
      <c r="AH7" s="120"/>
      <c r="AI7" s="120"/>
      <c r="AJ7" s="120"/>
      <c r="AK7" s="120"/>
      <c r="AL7" s="120"/>
      <c r="AM7" s="120"/>
      <c r="AN7" s="120"/>
      <c r="AO7" s="120"/>
      <c r="AP7" s="120"/>
      <c r="AQ7" s="120"/>
      <c r="AR7" s="120"/>
      <c r="AS7" s="120"/>
      <c r="AT7" s="120"/>
      <c r="AU7" s="120"/>
      <c r="AV7" s="120"/>
    </row>
    <row r="8" spans="2:30" ht="24" customHeight="1">
      <c r="B8" s="111"/>
      <c r="C8" s="112"/>
      <c r="D8" s="502" t="s">
        <v>450</v>
      </c>
      <c r="E8" s="503"/>
      <c r="F8" s="503"/>
      <c r="G8" s="503"/>
      <c r="H8" s="503"/>
      <c r="I8" s="503"/>
      <c r="J8" s="503"/>
      <c r="K8" s="503"/>
      <c r="L8" s="503"/>
      <c r="M8" s="503"/>
      <c r="N8" s="503"/>
      <c r="O8" s="503"/>
      <c r="P8" s="504"/>
      <c r="Q8" s="112"/>
      <c r="R8" s="112"/>
      <c r="S8" s="112"/>
      <c r="T8" s="112"/>
      <c r="U8" s="112"/>
      <c r="V8" s="112"/>
      <c r="W8" s="112"/>
      <c r="X8" s="112"/>
      <c r="Y8" s="112"/>
      <c r="Z8" s="112"/>
      <c r="AA8" s="112"/>
      <c r="AB8" s="112"/>
      <c r="AC8" s="112"/>
      <c r="AD8" s="116"/>
    </row>
    <row r="9" spans="2:32" ht="24" customHeight="1">
      <c r="B9" s="111"/>
      <c r="C9" s="112"/>
      <c r="D9" s="505"/>
      <c r="E9" s="506"/>
      <c r="F9" s="506"/>
      <c r="G9" s="506"/>
      <c r="H9" s="506"/>
      <c r="I9" s="506"/>
      <c r="J9" s="506"/>
      <c r="K9" s="506"/>
      <c r="L9" s="506"/>
      <c r="M9" s="506"/>
      <c r="N9" s="506"/>
      <c r="O9" s="506"/>
      <c r="P9" s="507"/>
      <c r="Q9" s="112"/>
      <c r="R9" s="112"/>
      <c r="S9" s="112"/>
      <c r="T9" s="500"/>
      <c r="U9" s="501"/>
      <c r="V9" s="501"/>
      <c r="W9" s="501"/>
      <c r="X9" s="501"/>
      <c r="Y9" s="501"/>
      <c r="Z9" s="501"/>
      <c r="AA9" s="501"/>
      <c r="AB9" s="501"/>
      <c r="AC9" s="501"/>
      <c r="AD9" s="501"/>
      <c r="AE9" s="501"/>
      <c r="AF9" s="501"/>
    </row>
    <row r="10" spans="2:30" ht="15" customHeight="1">
      <c r="B10" s="111"/>
      <c r="C10" s="112"/>
      <c r="D10" s="112"/>
      <c r="E10" s="112"/>
      <c r="F10" s="112"/>
      <c r="G10" s="112"/>
      <c r="H10" s="112"/>
      <c r="I10" s="112"/>
      <c r="J10" s="112"/>
      <c r="K10" s="112"/>
      <c r="L10" s="112"/>
      <c r="M10" s="112"/>
      <c r="N10" s="112"/>
      <c r="O10" s="112"/>
      <c r="P10" s="112"/>
      <c r="Q10" s="112"/>
      <c r="R10" s="112"/>
      <c r="S10" s="112"/>
      <c r="T10" s="112"/>
      <c r="U10" s="112"/>
      <c r="V10" s="112"/>
      <c r="W10" s="112"/>
      <c r="X10" s="112"/>
      <c r="Y10" s="112"/>
      <c r="Z10" s="112"/>
      <c r="AA10" s="112"/>
      <c r="AB10" s="112"/>
      <c r="AC10" s="112"/>
      <c r="AD10" s="116"/>
    </row>
    <row r="11" spans="2:30" ht="15" customHeight="1">
      <c r="B11" s="111"/>
      <c r="C11" s="122"/>
      <c r="D11" s="123"/>
      <c r="E11" s="123"/>
      <c r="F11" s="123"/>
      <c r="G11" s="123"/>
      <c r="H11" s="123"/>
      <c r="I11" s="123"/>
      <c r="J11" s="123"/>
      <c r="K11" s="123"/>
      <c r="L11" s="123"/>
      <c r="M11" s="123"/>
      <c r="N11" s="123"/>
      <c r="O11" s="123"/>
      <c r="P11" s="123"/>
      <c r="Q11" s="123"/>
      <c r="R11" s="123"/>
      <c r="S11" s="123"/>
      <c r="T11" s="123"/>
      <c r="U11" s="123"/>
      <c r="V11" s="123"/>
      <c r="W11" s="123"/>
      <c r="X11" s="123"/>
      <c r="Y11" s="123"/>
      <c r="Z11" s="123"/>
      <c r="AA11" s="123"/>
      <c r="AB11" s="123"/>
      <c r="AC11" s="124"/>
      <c r="AD11" s="116"/>
    </row>
    <row r="12" spans="2:35" ht="15" customHeight="1">
      <c r="B12" s="111"/>
      <c r="C12" s="126"/>
      <c r="D12" s="127"/>
      <c r="E12" s="127"/>
      <c r="F12" s="485" t="s">
        <v>518</v>
      </c>
      <c r="G12" s="486"/>
      <c r="H12" s="487"/>
      <c r="I12" s="1"/>
      <c r="J12" s="485" t="s">
        <v>7</v>
      </c>
      <c r="K12" s="486"/>
      <c r="L12" s="487"/>
      <c r="M12" s="1"/>
      <c r="N12" s="485" t="s">
        <v>8</v>
      </c>
      <c r="O12" s="486"/>
      <c r="P12" s="487"/>
      <c r="Q12" s="1"/>
      <c r="R12" s="485" t="s">
        <v>9</v>
      </c>
      <c r="S12" s="486"/>
      <c r="T12" s="487"/>
      <c r="U12" s="1"/>
      <c r="V12" s="485" t="s">
        <v>10</v>
      </c>
      <c r="W12" s="486"/>
      <c r="X12" s="487"/>
      <c r="Y12" s="1"/>
      <c r="Z12" s="493" t="s">
        <v>11</v>
      </c>
      <c r="AA12" s="494"/>
      <c r="AB12" s="495"/>
      <c r="AC12" s="128"/>
      <c r="AD12" s="129"/>
      <c r="AE12" s="130"/>
      <c r="AF12" s="130"/>
      <c r="AG12" s="130"/>
      <c r="AH12" s="130"/>
      <c r="AI12" s="130"/>
    </row>
    <row r="13" spans="2:35" ht="30" customHeight="1">
      <c r="B13" s="111"/>
      <c r="C13" s="126"/>
      <c r="D13" s="127"/>
      <c r="E13" s="127"/>
      <c r="F13" s="131" t="s">
        <v>79</v>
      </c>
      <c r="G13" s="132" t="s">
        <v>401</v>
      </c>
      <c r="H13" s="133" t="s">
        <v>81</v>
      </c>
      <c r="I13" s="134"/>
      <c r="J13" s="131" t="s">
        <v>79</v>
      </c>
      <c r="K13" s="131" t="s">
        <v>80</v>
      </c>
      <c r="L13" s="131" t="s">
        <v>81</v>
      </c>
      <c r="M13" s="134"/>
      <c r="N13" s="131" t="s">
        <v>79</v>
      </c>
      <c r="O13" s="131" t="s">
        <v>80</v>
      </c>
      <c r="P13" s="131" t="s">
        <v>81</v>
      </c>
      <c r="Q13" s="134"/>
      <c r="R13" s="131" t="s">
        <v>79</v>
      </c>
      <c r="S13" s="131" t="s">
        <v>80</v>
      </c>
      <c r="T13" s="131" t="s">
        <v>81</v>
      </c>
      <c r="U13" s="134"/>
      <c r="V13" s="131" t="s">
        <v>79</v>
      </c>
      <c r="W13" s="131" t="s">
        <v>80</v>
      </c>
      <c r="X13" s="131" t="s">
        <v>81</v>
      </c>
      <c r="Y13" s="134"/>
      <c r="Z13" s="133" t="s">
        <v>79</v>
      </c>
      <c r="AA13" s="133" t="s">
        <v>80</v>
      </c>
      <c r="AB13" s="133" t="s">
        <v>81</v>
      </c>
      <c r="AC13" s="128"/>
      <c r="AD13" s="129"/>
      <c r="AE13" s="130"/>
      <c r="AF13" s="130"/>
      <c r="AG13" s="130"/>
      <c r="AH13" s="130"/>
      <c r="AI13" s="130"/>
    </row>
    <row r="14" spans="2:48" ht="15" customHeight="1">
      <c r="B14" s="111"/>
      <c r="C14" s="126"/>
      <c r="D14" s="135" t="s">
        <v>55</v>
      </c>
      <c r="E14" s="136"/>
      <c r="F14" s="137"/>
      <c r="G14" s="138"/>
      <c r="H14" s="139"/>
      <c r="I14" s="140"/>
      <c r="J14" s="141"/>
      <c r="K14" s="142"/>
      <c r="L14" s="143"/>
      <c r="M14" s="144"/>
      <c r="N14" s="141"/>
      <c r="O14" s="142"/>
      <c r="P14" s="143"/>
      <c r="Q14" s="144"/>
      <c r="R14" s="141"/>
      <c r="S14" s="142"/>
      <c r="T14" s="143"/>
      <c r="U14" s="144"/>
      <c r="V14" s="141"/>
      <c r="W14" s="142"/>
      <c r="X14" s="143"/>
      <c r="Y14" s="144"/>
      <c r="Z14" s="141"/>
      <c r="AA14" s="142"/>
      <c r="AB14" s="143"/>
      <c r="AC14" s="125"/>
      <c r="AD14" s="116"/>
      <c r="AJ14" s="110"/>
      <c r="AK14" s="110"/>
      <c r="AL14" s="110"/>
      <c r="AM14" s="110"/>
      <c r="AN14" s="110"/>
      <c r="AO14" s="110"/>
      <c r="AP14" s="110"/>
      <c r="AQ14" s="110"/>
      <c r="AR14" s="110"/>
      <c r="AS14" s="110"/>
      <c r="AT14" s="110"/>
      <c r="AU14" s="110"/>
      <c r="AV14" s="110"/>
    </row>
    <row r="15" spans="2:35" ht="15" customHeight="1">
      <c r="B15" s="111"/>
      <c r="C15" s="126"/>
      <c r="D15" s="458" t="s">
        <v>855</v>
      </c>
      <c r="E15" s="112"/>
      <c r="F15" s="146">
        <v>7</v>
      </c>
      <c r="G15" s="147">
        <f>422720/F15</f>
        <v>60388.57142857143</v>
      </c>
      <c r="H15" s="148">
        <f>F15*G15</f>
        <v>422720</v>
      </c>
      <c r="I15" s="149"/>
      <c r="J15" s="146">
        <f>F15</f>
        <v>7</v>
      </c>
      <c r="K15" s="147">
        <f>G15*1.03</f>
        <v>62200.228571428575</v>
      </c>
      <c r="L15" s="148">
        <f>J15*K15</f>
        <v>435401.60000000003</v>
      </c>
      <c r="M15" s="149"/>
      <c r="N15" s="146">
        <f>J15</f>
        <v>7</v>
      </c>
      <c r="O15" s="147">
        <f>K15*1.03</f>
        <v>64066.23542857143</v>
      </c>
      <c r="P15" s="148">
        <f>N15*O15</f>
        <v>448463.64800000004</v>
      </c>
      <c r="Q15" s="149"/>
      <c r="R15" s="146">
        <f>N15</f>
        <v>7</v>
      </c>
      <c r="S15" s="147">
        <f>O15*1.03</f>
        <v>65988.22249142858</v>
      </c>
      <c r="T15" s="148">
        <f>R15*S15</f>
        <v>461917.55744</v>
      </c>
      <c r="U15" s="149"/>
      <c r="V15" s="146">
        <f>R15</f>
        <v>7</v>
      </c>
      <c r="W15" s="147">
        <f>S15*1.03</f>
        <v>67967.86916617144</v>
      </c>
      <c r="X15" s="148">
        <f>V15*W15</f>
        <v>475775.0841632001</v>
      </c>
      <c r="Y15" s="149"/>
      <c r="Z15" s="146">
        <f>V15</f>
        <v>7</v>
      </c>
      <c r="AA15" s="147">
        <f>W15*1.03</f>
        <v>70006.90524115658</v>
      </c>
      <c r="AB15" s="148">
        <f>Z15*AA15</f>
        <v>490048.33668809605</v>
      </c>
      <c r="AC15" s="150"/>
      <c r="AD15" s="119"/>
      <c r="AE15" s="120"/>
      <c r="AF15" s="120"/>
      <c r="AG15" s="120"/>
      <c r="AH15" s="120"/>
      <c r="AI15" s="120"/>
    </row>
    <row r="16" spans="2:35" ht="15" customHeight="1">
      <c r="B16" s="111"/>
      <c r="C16" s="126"/>
      <c r="D16" s="458" t="s">
        <v>417</v>
      </c>
      <c r="E16" s="112"/>
      <c r="F16" s="146">
        <v>1</v>
      </c>
      <c r="G16" s="147">
        <f>70000/F16</f>
        <v>70000</v>
      </c>
      <c r="H16" s="148">
        <f aca="true" t="shared" si="0" ref="H16:H29">F16*G16</f>
        <v>70000</v>
      </c>
      <c r="I16" s="149"/>
      <c r="J16" s="146">
        <f>F16</f>
        <v>1</v>
      </c>
      <c r="K16" s="147">
        <f>G16*1.03</f>
        <v>72100</v>
      </c>
      <c r="L16" s="148">
        <f aca="true" t="shared" si="1" ref="L16:L29">J16*K16</f>
        <v>72100</v>
      </c>
      <c r="M16" s="149"/>
      <c r="N16" s="146">
        <f>J16</f>
        <v>1</v>
      </c>
      <c r="O16" s="147">
        <f>K16*1.03</f>
        <v>74263</v>
      </c>
      <c r="P16" s="148">
        <f aca="true" t="shared" si="2" ref="P16:P29">N16*O16</f>
        <v>74263</v>
      </c>
      <c r="Q16" s="149"/>
      <c r="R16" s="146">
        <f>N16</f>
        <v>1</v>
      </c>
      <c r="S16" s="147">
        <f>O16*1.03</f>
        <v>76490.89</v>
      </c>
      <c r="T16" s="148">
        <f aca="true" t="shared" si="3" ref="T16:T29">R16*S16</f>
        <v>76490.89</v>
      </c>
      <c r="U16" s="149"/>
      <c r="V16" s="146">
        <f>R16</f>
        <v>1</v>
      </c>
      <c r="W16" s="147">
        <f>S16*1.03</f>
        <v>78785.6167</v>
      </c>
      <c r="X16" s="148">
        <f aca="true" t="shared" si="4" ref="X16:X29">V16*W16</f>
        <v>78785.6167</v>
      </c>
      <c r="Y16" s="149"/>
      <c r="Z16" s="146">
        <f>V16</f>
        <v>1</v>
      </c>
      <c r="AA16" s="147">
        <f>W16*1.03</f>
        <v>81149.185201</v>
      </c>
      <c r="AB16" s="148">
        <f aca="true" t="shared" si="5" ref="AB16:AB29">Z16*AA16</f>
        <v>81149.185201</v>
      </c>
      <c r="AC16" s="150"/>
      <c r="AD16" s="119"/>
      <c r="AE16" s="120"/>
      <c r="AF16" s="120"/>
      <c r="AG16" s="120"/>
      <c r="AH16" s="120"/>
      <c r="AI16" s="120"/>
    </row>
    <row r="17" spans="2:35" ht="15" customHeight="1">
      <c r="B17" s="111"/>
      <c r="C17" s="126"/>
      <c r="D17" s="151" t="s">
        <v>856</v>
      </c>
      <c r="E17" s="112"/>
      <c r="F17" s="146">
        <v>3</v>
      </c>
      <c r="G17" s="147">
        <f>(75060+35000)/F17</f>
        <v>36686.666666666664</v>
      </c>
      <c r="H17" s="148">
        <f t="shared" si="0"/>
        <v>110060</v>
      </c>
      <c r="I17" s="149"/>
      <c r="J17" s="146">
        <v>1</v>
      </c>
      <c r="K17" s="147">
        <f>G17*1.03</f>
        <v>37787.26666666666</v>
      </c>
      <c r="L17" s="148">
        <f t="shared" si="1"/>
        <v>37787.26666666666</v>
      </c>
      <c r="M17" s="149"/>
      <c r="N17" s="146">
        <v>1</v>
      </c>
      <c r="O17" s="147">
        <f>K17*1.03</f>
        <v>38920.884666666665</v>
      </c>
      <c r="P17" s="148">
        <f t="shared" si="2"/>
        <v>38920.884666666665</v>
      </c>
      <c r="Q17" s="149"/>
      <c r="R17" s="146">
        <v>1</v>
      </c>
      <c r="S17" s="147">
        <f>O17*1.03</f>
        <v>40088.51120666666</v>
      </c>
      <c r="T17" s="148">
        <f t="shared" si="3"/>
        <v>40088.51120666666</v>
      </c>
      <c r="U17" s="149"/>
      <c r="V17" s="146">
        <v>2</v>
      </c>
      <c r="W17" s="147">
        <f>S17*1.03</f>
        <v>41291.16654286666</v>
      </c>
      <c r="X17" s="148">
        <f t="shared" si="4"/>
        <v>82582.33308573332</v>
      </c>
      <c r="Y17" s="149"/>
      <c r="Z17" s="146">
        <f>V17</f>
        <v>2</v>
      </c>
      <c r="AA17" s="147">
        <f>W17*1.03</f>
        <v>42529.90153915266</v>
      </c>
      <c r="AB17" s="148">
        <f t="shared" si="5"/>
        <v>85059.80307830533</v>
      </c>
      <c r="AC17" s="150"/>
      <c r="AD17" s="119"/>
      <c r="AE17" s="120"/>
      <c r="AF17" s="120"/>
      <c r="AG17" s="120"/>
      <c r="AH17" s="120"/>
      <c r="AI17" s="120"/>
    </row>
    <row r="18" spans="2:30" ht="15" customHeight="1">
      <c r="B18" s="111"/>
      <c r="C18" s="126"/>
      <c r="D18" s="151"/>
      <c r="E18" s="112"/>
      <c r="F18" s="146"/>
      <c r="G18" s="147">
        <v>0</v>
      </c>
      <c r="H18" s="148">
        <f t="shared" si="0"/>
        <v>0</v>
      </c>
      <c r="I18" s="149"/>
      <c r="J18" s="146"/>
      <c r="K18" s="147">
        <v>0</v>
      </c>
      <c r="L18" s="148">
        <f t="shared" si="1"/>
        <v>0</v>
      </c>
      <c r="M18" s="149"/>
      <c r="N18" s="146"/>
      <c r="O18" s="147">
        <v>0</v>
      </c>
      <c r="P18" s="148">
        <f t="shared" si="2"/>
        <v>0</v>
      </c>
      <c r="Q18" s="149"/>
      <c r="R18" s="146"/>
      <c r="S18" s="147">
        <v>0</v>
      </c>
      <c r="T18" s="148">
        <f t="shared" si="3"/>
        <v>0</v>
      </c>
      <c r="U18" s="149"/>
      <c r="V18" s="146"/>
      <c r="W18" s="147">
        <v>0</v>
      </c>
      <c r="X18" s="148">
        <f t="shared" si="4"/>
        <v>0</v>
      </c>
      <c r="Y18" s="149"/>
      <c r="Z18" s="146"/>
      <c r="AA18" s="147">
        <v>0</v>
      </c>
      <c r="AB18" s="148">
        <f t="shared" si="5"/>
        <v>0</v>
      </c>
      <c r="AC18" s="125"/>
      <c r="AD18" s="116"/>
    </row>
    <row r="19" spans="2:30" ht="15" customHeight="1">
      <c r="B19" s="111"/>
      <c r="C19" s="126"/>
      <c r="D19" s="151"/>
      <c r="E19" s="112"/>
      <c r="F19" s="146"/>
      <c r="G19" s="147">
        <v>0</v>
      </c>
      <c r="H19" s="148">
        <f t="shared" si="0"/>
        <v>0</v>
      </c>
      <c r="I19" s="149"/>
      <c r="J19" s="146"/>
      <c r="K19" s="147">
        <v>0</v>
      </c>
      <c r="L19" s="148">
        <f t="shared" si="1"/>
        <v>0</v>
      </c>
      <c r="M19" s="149"/>
      <c r="N19" s="146"/>
      <c r="O19" s="147">
        <v>0</v>
      </c>
      <c r="P19" s="148">
        <f t="shared" si="2"/>
        <v>0</v>
      </c>
      <c r="Q19" s="149"/>
      <c r="R19" s="146"/>
      <c r="S19" s="147">
        <v>0</v>
      </c>
      <c r="T19" s="148">
        <f t="shared" si="3"/>
        <v>0</v>
      </c>
      <c r="U19" s="149"/>
      <c r="V19" s="146"/>
      <c r="W19" s="147">
        <v>0</v>
      </c>
      <c r="X19" s="148">
        <f t="shared" si="4"/>
        <v>0</v>
      </c>
      <c r="Y19" s="149"/>
      <c r="Z19" s="146"/>
      <c r="AA19" s="147">
        <v>0</v>
      </c>
      <c r="AB19" s="148">
        <f t="shared" si="5"/>
        <v>0</v>
      </c>
      <c r="AC19" s="125"/>
      <c r="AD19" s="116"/>
    </row>
    <row r="20" spans="2:30" ht="15" customHeight="1">
      <c r="B20" s="111"/>
      <c r="C20" s="126"/>
      <c r="D20" s="151"/>
      <c r="E20" s="112"/>
      <c r="F20" s="146"/>
      <c r="G20" s="147">
        <v>0</v>
      </c>
      <c r="H20" s="148">
        <f t="shared" si="0"/>
        <v>0</v>
      </c>
      <c r="I20" s="149"/>
      <c r="J20" s="146"/>
      <c r="K20" s="147">
        <v>0</v>
      </c>
      <c r="L20" s="148">
        <f t="shared" si="1"/>
        <v>0</v>
      </c>
      <c r="M20" s="149"/>
      <c r="N20" s="146"/>
      <c r="O20" s="147">
        <v>0</v>
      </c>
      <c r="P20" s="148">
        <f t="shared" si="2"/>
        <v>0</v>
      </c>
      <c r="Q20" s="149"/>
      <c r="R20" s="146"/>
      <c r="S20" s="147">
        <v>0</v>
      </c>
      <c r="T20" s="148">
        <f t="shared" si="3"/>
        <v>0</v>
      </c>
      <c r="U20" s="149"/>
      <c r="V20" s="146"/>
      <c r="W20" s="147">
        <v>0</v>
      </c>
      <c r="X20" s="148">
        <f t="shared" si="4"/>
        <v>0</v>
      </c>
      <c r="Y20" s="149"/>
      <c r="Z20" s="146"/>
      <c r="AA20" s="147">
        <v>0</v>
      </c>
      <c r="AB20" s="148">
        <f t="shared" si="5"/>
        <v>0</v>
      </c>
      <c r="AC20" s="125"/>
      <c r="AD20" s="116"/>
    </row>
    <row r="21" spans="2:30" ht="15" customHeight="1">
      <c r="B21" s="111"/>
      <c r="C21" s="126"/>
      <c r="D21" s="151"/>
      <c r="E21" s="112"/>
      <c r="F21" s="146"/>
      <c r="G21" s="147">
        <v>0</v>
      </c>
      <c r="H21" s="148">
        <f t="shared" si="0"/>
        <v>0</v>
      </c>
      <c r="I21" s="149"/>
      <c r="J21" s="146"/>
      <c r="K21" s="147">
        <v>0</v>
      </c>
      <c r="L21" s="148">
        <f t="shared" si="1"/>
        <v>0</v>
      </c>
      <c r="M21" s="149"/>
      <c r="N21" s="146"/>
      <c r="O21" s="147">
        <v>0</v>
      </c>
      <c r="P21" s="148">
        <f t="shared" si="2"/>
        <v>0</v>
      </c>
      <c r="Q21" s="149"/>
      <c r="R21" s="146"/>
      <c r="S21" s="147">
        <v>0</v>
      </c>
      <c r="T21" s="148">
        <f t="shared" si="3"/>
        <v>0</v>
      </c>
      <c r="U21" s="149"/>
      <c r="V21" s="146"/>
      <c r="W21" s="147">
        <v>0</v>
      </c>
      <c r="X21" s="148">
        <f t="shared" si="4"/>
        <v>0</v>
      </c>
      <c r="Y21" s="149"/>
      <c r="Z21" s="146"/>
      <c r="AA21" s="147">
        <v>0</v>
      </c>
      <c r="AB21" s="148">
        <f t="shared" si="5"/>
        <v>0</v>
      </c>
      <c r="AC21" s="125"/>
      <c r="AD21" s="116"/>
    </row>
    <row r="22" spans="2:30" ht="15" customHeight="1">
      <c r="B22" s="111"/>
      <c r="C22" s="126"/>
      <c r="D22" s="151"/>
      <c r="E22" s="112"/>
      <c r="F22" s="146"/>
      <c r="G22" s="147">
        <v>0</v>
      </c>
      <c r="H22" s="148">
        <f t="shared" si="0"/>
        <v>0</v>
      </c>
      <c r="I22" s="149"/>
      <c r="J22" s="146"/>
      <c r="K22" s="147">
        <v>0</v>
      </c>
      <c r="L22" s="148">
        <f aca="true" t="shared" si="6" ref="L22:L27">J22*K22</f>
        <v>0</v>
      </c>
      <c r="M22" s="149"/>
      <c r="N22" s="146"/>
      <c r="O22" s="147">
        <v>0</v>
      </c>
      <c r="P22" s="148">
        <f aca="true" t="shared" si="7" ref="P22:P27">N22*O22</f>
        <v>0</v>
      </c>
      <c r="Q22" s="149"/>
      <c r="R22" s="146"/>
      <c r="S22" s="147">
        <v>0</v>
      </c>
      <c r="T22" s="148">
        <f aca="true" t="shared" si="8" ref="T22:T27">R22*S22</f>
        <v>0</v>
      </c>
      <c r="U22" s="149"/>
      <c r="V22" s="146"/>
      <c r="W22" s="147">
        <v>0</v>
      </c>
      <c r="X22" s="148">
        <f aca="true" t="shared" si="9" ref="X22:X27">V22*W22</f>
        <v>0</v>
      </c>
      <c r="Y22" s="149"/>
      <c r="Z22" s="146"/>
      <c r="AA22" s="147">
        <v>0</v>
      </c>
      <c r="AB22" s="148">
        <f aca="true" t="shared" si="10" ref="AB22:AB27">Z22*AA22</f>
        <v>0</v>
      </c>
      <c r="AC22" s="125"/>
      <c r="AD22" s="116"/>
    </row>
    <row r="23" spans="2:30" ht="15" customHeight="1">
      <c r="B23" s="111"/>
      <c r="C23" s="126"/>
      <c r="D23" s="151"/>
      <c r="E23" s="112"/>
      <c r="F23" s="146"/>
      <c r="G23" s="147">
        <v>0</v>
      </c>
      <c r="H23" s="148">
        <f t="shared" si="0"/>
        <v>0</v>
      </c>
      <c r="I23" s="149"/>
      <c r="J23" s="146"/>
      <c r="K23" s="147">
        <v>0</v>
      </c>
      <c r="L23" s="148">
        <f t="shared" si="6"/>
        <v>0</v>
      </c>
      <c r="M23" s="149"/>
      <c r="N23" s="146"/>
      <c r="O23" s="147">
        <v>0</v>
      </c>
      <c r="P23" s="148">
        <f t="shared" si="7"/>
        <v>0</v>
      </c>
      <c r="Q23" s="149"/>
      <c r="R23" s="146"/>
      <c r="S23" s="147">
        <v>0</v>
      </c>
      <c r="T23" s="148">
        <f t="shared" si="8"/>
        <v>0</v>
      </c>
      <c r="U23" s="149"/>
      <c r="V23" s="146"/>
      <c r="W23" s="147">
        <v>0</v>
      </c>
      <c r="X23" s="148">
        <f t="shared" si="9"/>
        <v>0</v>
      </c>
      <c r="Y23" s="149"/>
      <c r="Z23" s="146"/>
      <c r="AA23" s="147">
        <v>0</v>
      </c>
      <c r="AB23" s="148">
        <f t="shared" si="10"/>
        <v>0</v>
      </c>
      <c r="AC23" s="125"/>
      <c r="AD23" s="116"/>
    </row>
    <row r="24" spans="2:30" ht="15" customHeight="1">
      <c r="B24" s="111"/>
      <c r="C24" s="126"/>
      <c r="D24" s="151"/>
      <c r="E24" s="112"/>
      <c r="F24" s="146"/>
      <c r="G24" s="147">
        <v>0</v>
      </c>
      <c r="H24" s="148">
        <f t="shared" si="0"/>
        <v>0</v>
      </c>
      <c r="I24" s="149"/>
      <c r="J24" s="146"/>
      <c r="K24" s="147">
        <v>0</v>
      </c>
      <c r="L24" s="148">
        <f t="shared" si="6"/>
        <v>0</v>
      </c>
      <c r="M24" s="149"/>
      <c r="N24" s="146"/>
      <c r="O24" s="147">
        <v>0</v>
      </c>
      <c r="P24" s="148">
        <f t="shared" si="7"/>
        <v>0</v>
      </c>
      <c r="Q24" s="149"/>
      <c r="R24" s="146"/>
      <c r="S24" s="147">
        <v>0</v>
      </c>
      <c r="T24" s="148">
        <f t="shared" si="8"/>
        <v>0</v>
      </c>
      <c r="U24" s="149"/>
      <c r="V24" s="146"/>
      <c r="W24" s="147">
        <v>0</v>
      </c>
      <c r="X24" s="148">
        <f t="shared" si="9"/>
        <v>0</v>
      </c>
      <c r="Y24" s="149"/>
      <c r="Z24" s="146"/>
      <c r="AA24" s="147">
        <v>0</v>
      </c>
      <c r="AB24" s="148">
        <f t="shared" si="10"/>
        <v>0</v>
      </c>
      <c r="AC24" s="125"/>
      <c r="AD24" s="116"/>
    </row>
    <row r="25" spans="2:30" ht="15" customHeight="1">
      <c r="B25" s="111"/>
      <c r="C25" s="126"/>
      <c r="D25" s="151"/>
      <c r="E25" s="112"/>
      <c r="F25" s="146"/>
      <c r="G25" s="147">
        <v>0</v>
      </c>
      <c r="H25" s="148">
        <f t="shared" si="0"/>
        <v>0</v>
      </c>
      <c r="I25" s="149"/>
      <c r="J25" s="146"/>
      <c r="K25" s="147">
        <v>0</v>
      </c>
      <c r="L25" s="148">
        <f t="shared" si="6"/>
        <v>0</v>
      </c>
      <c r="M25" s="149"/>
      <c r="N25" s="146"/>
      <c r="O25" s="147">
        <v>0</v>
      </c>
      <c r="P25" s="148">
        <f t="shared" si="7"/>
        <v>0</v>
      </c>
      <c r="Q25" s="149"/>
      <c r="R25" s="146"/>
      <c r="S25" s="147">
        <v>0</v>
      </c>
      <c r="T25" s="148">
        <f t="shared" si="8"/>
        <v>0</v>
      </c>
      <c r="U25" s="149"/>
      <c r="V25" s="146"/>
      <c r="W25" s="147">
        <v>0</v>
      </c>
      <c r="X25" s="148">
        <f t="shared" si="9"/>
        <v>0</v>
      </c>
      <c r="Y25" s="149"/>
      <c r="Z25" s="146"/>
      <c r="AA25" s="147">
        <v>0</v>
      </c>
      <c r="AB25" s="148">
        <f t="shared" si="10"/>
        <v>0</v>
      </c>
      <c r="AC25" s="125"/>
      <c r="AD25" s="116"/>
    </row>
    <row r="26" spans="2:30" ht="15" customHeight="1">
      <c r="B26" s="111"/>
      <c r="C26" s="126"/>
      <c r="D26" s="151"/>
      <c r="E26" s="112"/>
      <c r="F26" s="146"/>
      <c r="G26" s="147">
        <v>0</v>
      </c>
      <c r="H26" s="148">
        <f t="shared" si="0"/>
        <v>0</v>
      </c>
      <c r="I26" s="149"/>
      <c r="J26" s="146"/>
      <c r="K26" s="147">
        <v>0</v>
      </c>
      <c r="L26" s="148">
        <f t="shared" si="6"/>
        <v>0</v>
      </c>
      <c r="M26" s="149"/>
      <c r="N26" s="146"/>
      <c r="O26" s="147">
        <v>0</v>
      </c>
      <c r="P26" s="148">
        <f t="shared" si="7"/>
        <v>0</v>
      </c>
      <c r="Q26" s="149"/>
      <c r="R26" s="146"/>
      <c r="S26" s="147">
        <v>0</v>
      </c>
      <c r="T26" s="148">
        <f t="shared" si="8"/>
        <v>0</v>
      </c>
      <c r="U26" s="149"/>
      <c r="V26" s="146"/>
      <c r="W26" s="147">
        <v>0</v>
      </c>
      <c r="X26" s="148">
        <f t="shared" si="9"/>
        <v>0</v>
      </c>
      <c r="Y26" s="149"/>
      <c r="Z26" s="146"/>
      <c r="AA26" s="147">
        <v>0</v>
      </c>
      <c r="AB26" s="148">
        <f t="shared" si="10"/>
        <v>0</v>
      </c>
      <c r="AC26" s="125"/>
      <c r="AD26" s="116"/>
    </row>
    <row r="27" spans="2:30" ht="15" customHeight="1">
      <c r="B27" s="111"/>
      <c r="C27" s="126"/>
      <c r="D27" s="151"/>
      <c r="E27" s="112"/>
      <c r="F27" s="146"/>
      <c r="G27" s="147">
        <v>0</v>
      </c>
      <c r="H27" s="148">
        <f t="shared" si="0"/>
        <v>0</v>
      </c>
      <c r="I27" s="149"/>
      <c r="J27" s="146"/>
      <c r="K27" s="147">
        <v>0</v>
      </c>
      <c r="L27" s="148">
        <f t="shared" si="6"/>
        <v>0</v>
      </c>
      <c r="M27" s="149"/>
      <c r="N27" s="146"/>
      <c r="O27" s="147">
        <v>0</v>
      </c>
      <c r="P27" s="148">
        <f t="shared" si="7"/>
        <v>0</v>
      </c>
      <c r="Q27" s="149"/>
      <c r="R27" s="146"/>
      <c r="S27" s="147">
        <v>0</v>
      </c>
      <c r="T27" s="148">
        <f t="shared" si="8"/>
        <v>0</v>
      </c>
      <c r="U27" s="149"/>
      <c r="V27" s="146"/>
      <c r="W27" s="147">
        <v>0</v>
      </c>
      <c r="X27" s="148">
        <f t="shared" si="9"/>
        <v>0</v>
      </c>
      <c r="Y27" s="149"/>
      <c r="Z27" s="146"/>
      <c r="AA27" s="147">
        <v>0</v>
      </c>
      <c r="AB27" s="148">
        <f t="shared" si="10"/>
        <v>0</v>
      </c>
      <c r="AC27" s="125"/>
      <c r="AD27" s="116"/>
    </row>
    <row r="28" spans="2:30" ht="15" customHeight="1">
      <c r="B28" s="111"/>
      <c r="C28" s="126"/>
      <c r="D28" s="151"/>
      <c r="E28" s="112"/>
      <c r="F28" s="146"/>
      <c r="G28" s="147">
        <v>0</v>
      </c>
      <c r="H28" s="148">
        <f t="shared" si="0"/>
        <v>0</v>
      </c>
      <c r="I28" s="149"/>
      <c r="J28" s="146"/>
      <c r="K28" s="147">
        <v>0</v>
      </c>
      <c r="L28" s="148">
        <f t="shared" si="1"/>
        <v>0</v>
      </c>
      <c r="M28" s="149"/>
      <c r="N28" s="146"/>
      <c r="O28" s="147">
        <v>0</v>
      </c>
      <c r="P28" s="148">
        <f t="shared" si="2"/>
        <v>0</v>
      </c>
      <c r="Q28" s="149"/>
      <c r="R28" s="146"/>
      <c r="S28" s="147">
        <v>0</v>
      </c>
      <c r="T28" s="148">
        <f t="shared" si="3"/>
        <v>0</v>
      </c>
      <c r="U28" s="149"/>
      <c r="V28" s="146"/>
      <c r="W28" s="147">
        <v>0</v>
      </c>
      <c r="X28" s="148">
        <f t="shared" si="4"/>
        <v>0</v>
      </c>
      <c r="Y28" s="149"/>
      <c r="Z28" s="146"/>
      <c r="AA28" s="147">
        <v>0</v>
      </c>
      <c r="AB28" s="148">
        <f t="shared" si="5"/>
        <v>0</v>
      </c>
      <c r="AC28" s="125"/>
      <c r="AD28" s="116"/>
    </row>
    <row r="29" spans="2:30" ht="15" customHeight="1">
      <c r="B29" s="111"/>
      <c r="C29" s="126"/>
      <c r="D29" s="152"/>
      <c r="E29" s="153"/>
      <c r="F29" s="146"/>
      <c r="G29" s="147">
        <v>0</v>
      </c>
      <c r="H29" s="148">
        <f t="shared" si="0"/>
        <v>0</v>
      </c>
      <c r="I29" s="149"/>
      <c r="J29" s="146"/>
      <c r="K29" s="147">
        <v>0</v>
      </c>
      <c r="L29" s="148">
        <f t="shared" si="1"/>
        <v>0</v>
      </c>
      <c r="M29" s="149"/>
      <c r="N29" s="146"/>
      <c r="O29" s="147">
        <v>0</v>
      </c>
      <c r="P29" s="148">
        <f t="shared" si="2"/>
        <v>0</v>
      </c>
      <c r="Q29" s="149"/>
      <c r="R29" s="146"/>
      <c r="S29" s="147">
        <v>0</v>
      </c>
      <c r="T29" s="148">
        <f t="shared" si="3"/>
        <v>0</v>
      </c>
      <c r="U29" s="149"/>
      <c r="V29" s="146"/>
      <c r="W29" s="147">
        <v>0</v>
      </c>
      <c r="X29" s="148">
        <f t="shared" si="4"/>
        <v>0</v>
      </c>
      <c r="Y29" s="149"/>
      <c r="Z29" s="146"/>
      <c r="AA29" s="147">
        <v>0</v>
      </c>
      <c r="AB29" s="148">
        <f t="shared" si="5"/>
        <v>0</v>
      </c>
      <c r="AC29" s="125"/>
      <c r="AD29" s="116" t="s">
        <v>2</v>
      </c>
    </row>
    <row r="30" spans="2:30" ht="15" customHeight="1">
      <c r="B30" s="111"/>
      <c r="C30" s="126"/>
      <c r="D30" s="154" t="s">
        <v>29</v>
      </c>
      <c r="E30" s="113"/>
      <c r="F30" s="155">
        <f>SUM(F15:F29)</f>
        <v>11</v>
      </c>
      <c r="G30" s="156"/>
      <c r="H30" s="157">
        <f>SUM(H15:H29)</f>
        <v>602780</v>
      </c>
      <c r="I30" s="158"/>
      <c r="J30" s="155">
        <f>SUM(J15:J29)</f>
        <v>9</v>
      </c>
      <c r="K30" s="156"/>
      <c r="L30" s="157">
        <f>SUM(L15:L29)</f>
        <v>545288.8666666667</v>
      </c>
      <c r="M30" s="158"/>
      <c r="N30" s="155">
        <f>SUM(N15:N29)</f>
        <v>9</v>
      </c>
      <c r="O30" s="156"/>
      <c r="P30" s="157">
        <f>SUM(P15:P29)</f>
        <v>561647.5326666667</v>
      </c>
      <c r="Q30" s="158"/>
      <c r="R30" s="155">
        <f>SUM(R15:R29)</f>
        <v>9</v>
      </c>
      <c r="S30" s="156"/>
      <c r="T30" s="157">
        <f>SUM(T15:T29)</f>
        <v>578496.9586466667</v>
      </c>
      <c r="U30" s="158"/>
      <c r="V30" s="155">
        <f>SUM(V15:V29)</f>
        <v>10</v>
      </c>
      <c r="W30" s="156"/>
      <c r="X30" s="157">
        <f>SUM(X15:X29)</f>
        <v>637143.0339489335</v>
      </c>
      <c r="Y30" s="158"/>
      <c r="Z30" s="155">
        <f>SUM(Z15:Z29)</f>
        <v>10</v>
      </c>
      <c r="AA30" s="156"/>
      <c r="AB30" s="157">
        <f>SUM(AB15:AB29)</f>
        <v>656257.3249674013</v>
      </c>
      <c r="AC30" s="125"/>
      <c r="AD30" s="116"/>
    </row>
    <row r="31" spans="2:30" ht="15" customHeight="1">
      <c r="B31" s="111"/>
      <c r="C31" s="126"/>
      <c r="D31" s="159"/>
      <c r="E31" s="113"/>
      <c r="F31" s="160"/>
      <c r="G31" s="161"/>
      <c r="H31" s="162"/>
      <c r="I31" s="113"/>
      <c r="J31" s="160"/>
      <c r="K31" s="161"/>
      <c r="L31" s="162"/>
      <c r="M31" s="113"/>
      <c r="N31" s="160"/>
      <c r="O31" s="161"/>
      <c r="P31" s="162"/>
      <c r="Q31" s="113"/>
      <c r="R31" s="160"/>
      <c r="S31" s="161"/>
      <c r="T31" s="162"/>
      <c r="U31" s="113"/>
      <c r="V31" s="160"/>
      <c r="W31" s="161"/>
      <c r="X31" s="162"/>
      <c r="Y31" s="113"/>
      <c r="Z31" s="160"/>
      <c r="AA31" s="161"/>
      <c r="AB31" s="162"/>
      <c r="AC31" s="125"/>
      <c r="AD31" s="116"/>
    </row>
    <row r="32" spans="2:35" ht="15" customHeight="1">
      <c r="B32" s="111"/>
      <c r="C32" s="126"/>
      <c r="D32" s="135" t="s">
        <v>56</v>
      </c>
      <c r="E32" s="136"/>
      <c r="F32" s="163"/>
      <c r="G32" s="164"/>
      <c r="H32" s="165"/>
      <c r="I32" s="115"/>
      <c r="J32" s="166"/>
      <c r="K32" s="167"/>
      <c r="L32" s="168"/>
      <c r="M32" s="144"/>
      <c r="N32" s="166"/>
      <c r="O32" s="167"/>
      <c r="P32" s="168"/>
      <c r="Q32" s="144"/>
      <c r="R32" s="166"/>
      <c r="S32" s="167"/>
      <c r="T32" s="168"/>
      <c r="U32" s="144"/>
      <c r="V32" s="166"/>
      <c r="W32" s="167"/>
      <c r="X32" s="168"/>
      <c r="Y32" s="144"/>
      <c r="Z32" s="166"/>
      <c r="AA32" s="167"/>
      <c r="AB32" s="168"/>
      <c r="AC32" s="150"/>
      <c r="AD32" s="119"/>
      <c r="AE32" s="120"/>
      <c r="AF32" s="120"/>
      <c r="AG32" s="120"/>
      <c r="AH32" s="120"/>
      <c r="AI32" s="120"/>
    </row>
    <row r="33" spans="2:30" ht="15" customHeight="1">
      <c r="B33" s="111"/>
      <c r="C33" s="126"/>
      <c r="D33" s="145" t="s">
        <v>860</v>
      </c>
      <c r="E33" s="112"/>
      <c r="F33" s="146">
        <v>1</v>
      </c>
      <c r="G33" s="147">
        <v>104275</v>
      </c>
      <c r="H33" s="148">
        <f>F33*G33</f>
        <v>104275</v>
      </c>
      <c r="I33" s="149"/>
      <c r="J33" s="146">
        <f>F33</f>
        <v>1</v>
      </c>
      <c r="K33" s="147">
        <f>G33*1.03</f>
        <v>107403.25</v>
      </c>
      <c r="L33" s="148">
        <f>J33*K33</f>
        <v>107403.25</v>
      </c>
      <c r="M33" s="169"/>
      <c r="N33" s="146">
        <f>J33</f>
        <v>1</v>
      </c>
      <c r="O33" s="147">
        <f>K33*1.03</f>
        <v>110625.3475</v>
      </c>
      <c r="P33" s="148">
        <f>N33*O33</f>
        <v>110625.3475</v>
      </c>
      <c r="Q33" s="169"/>
      <c r="R33" s="146">
        <f>N33</f>
        <v>1</v>
      </c>
      <c r="S33" s="147">
        <f>O33*1.03</f>
        <v>113944.107925</v>
      </c>
      <c r="T33" s="148">
        <f>R33*S33</f>
        <v>113944.107925</v>
      </c>
      <c r="U33" s="169"/>
      <c r="V33" s="146">
        <f>R33</f>
        <v>1</v>
      </c>
      <c r="W33" s="147">
        <f>S33*1.03</f>
        <v>117362.43116275001</v>
      </c>
      <c r="X33" s="148">
        <f>V33*W33</f>
        <v>117362.43116275001</v>
      </c>
      <c r="Y33" s="169"/>
      <c r="Z33" s="146">
        <f>V33</f>
        <v>1</v>
      </c>
      <c r="AA33" s="147">
        <f>W33*1.03</f>
        <v>120883.30409763251</v>
      </c>
      <c r="AB33" s="148">
        <f>Z33*AA33</f>
        <v>120883.30409763251</v>
      </c>
      <c r="AC33" s="170"/>
      <c r="AD33" s="116"/>
    </row>
    <row r="34" spans="2:31" ht="15" customHeight="1">
      <c r="B34" s="111"/>
      <c r="C34" s="126"/>
      <c r="D34" s="151" t="s">
        <v>857</v>
      </c>
      <c r="E34" s="112"/>
      <c r="F34" s="146">
        <v>1</v>
      </c>
      <c r="G34" s="147">
        <v>43544</v>
      </c>
      <c r="H34" s="148">
        <f aca="true" t="shared" si="11" ref="H34:H47">F34*G34</f>
        <v>43544</v>
      </c>
      <c r="I34" s="149"/>
      <c r="J34" s="146">
        <f>F34</f>
        <v>1</v>
      </c>
      <c r="K34" s="147">
        <f>G34*1.03</f>
        <v>44850.32</v>
      </c>
      <c r="L34" s="148">
        <f aca="true" t="shared" si="12" ref="L34:L47">J34*K34</f>
        <v>44850.32</v>
      </c>
      <c r="M34" s="169"/>
      <c r="N34" s="146">
        <f>J34</f>
        <v>1</v>
      </c>
      <c r="O34" s="147">
        <f>K34*1.03</f>
        <v>46195.8296</v>
      </c>
      <c r="P34" s="148">
        <f aca="true" t="shared" si="13" ref="P34:P47">N34*O34</f>
        <v>46195.8296</v>
      </c>
      <c r="Q34" s="169"/>
      <c r="R34" s="146">
        <f>N34</f>
        <v>1</v>
      </c>
      <c r="S34" s="147">
        <f>O34*1.03</f>
        <v>47581.704487999996</v>
      </c>
      <c r="T34" s="148">
        <f aca="true" t="shared" si="14" ref="T34:T47">R34*S34</f>
        <v>47581.704487999996</v>
      </c>
      <c r="U34" s="169"/>
      <c r="V34" s="146">
        <f>R34</f>
        <v>1</v>
      </c>
      <c r="W34" s="147">
        <f>S34*1.03</f>
        <v>49009.15562264</v>
      </c>
      <c r="X34" s="148">
        <f aca="true" t="shared" si="15" ref="X34:X47">V34*W34</f>
        <v>49009.15562264</v>
      </c>
      <c r="Y34" s="169"/>
      <c r="Z34" s="146">
        <f>V34</f>
        <v>1</v>
      </c>
      <c r="AA34" s="147">
        <f>W34*1.03</f>
        <v>50479.4302913192</v>
      </c>
      <c r="AB34" s="148">
        <f aca="true" t="shared" si="16" ref="AB34:AB47">Z34*AA34</f>
        <v>50479.4302913192</v>
      </c>
      <c r="AC34" s="170"/>
      <c r="AD34" s="116"/>
      <c r="AE34" s="109" t="s">
        <v>2</v>
      </c>
    </row>
    <row r="35" spans="2:30" ht="15" customHeight="1">
      <c r="B35" s="111"/>
      <c r="C35" s="126"/>
      <c r="D35" s="151" t="s">
        <v>854</v>
      </c>
      <c r="E35" s="112"/>
      <c r="F35" s="146">
        <v>1</v>
      </c>
      <c r="G35" s="147">
        <v>28922</v>
      </c>
      <c r="H35" s="148">
        <f t="shared" si="11"/>
        <v>28922</v>
      </c>
      <c r="I35" s="149"/>
      <c r="J35" s="146">
        <f>F35</f>
        <v>1</v>
      </c>
      <c r="K35" s="147">
        <f>G35*1.03</f>
        <v>29789.66</v>
      </c>
      <c r="L35" s="148">
        <f t="shared" si="12"/>
        <v>29789.66</v>
      </c>
      <c r="M35" s="169"/>
      <c r="N35" s="146">
        <f>J35</f>
        <v>1</v>
      </c>
      <c r="O35" s="147">
        <f>K35*1.03</f>
        <v>30683.3498</v>
      </c>
      <c r="P35" s="148">
        <f t="shared" si="13"/>
        <v>30683.3498</v>
      </c>
      <c r="Q35" s="169"/>
      <c r="R35" s="146">
        <f>N35</f>
        <v>1</v>
      </c>
      <c r="S35" s="147">
        <f>O35*1.03</f>
        <v>31603.850294</v>
      </c>
      <c r="T35" s="148">
        <f t="shared" si="14"/>
        <v>31603.850294</v>
      </c>
      <c r="U35" s="169"/>
      <c r="V35" s="146">
        <f>R35</f>
        <v>1</v>
      </c>
      <c r="W35" s="147">
        <f>S35*1.03</f>
        <v>32551.96580282</v>
      </c>
      <c r="X35" s="148">
        <f t="shared" si="15"/>
        <v>32551.96580282</v>
      </c>
      <c r="Y35" s="169"/>
      <c r="Z35" s="146">
        <f>V35</f>
        <v>1</v>
      </c>
      <c r="AA35" s="147">
        <f>W35*1.03</f>
        <v>33528.524776904604</v>
      </c>
      <c r="AB35" s="148">
        <f t="shared" si="16"/>
        <v>33528.524776904604</v>
      </c>
      <c r="AC35" s="170"/>
      <c r="AD35" s="116"/>
    </row>
    <row r="36" spans="2:30" ht="15" customHeight="1">
      <c r="B36" s="111"/>
      <c r="C36" s="126"/>
      <c r="D36" s="171"/>
      <c r="E36" s="172"/>
      <c r="F36" s="146"/>
      <c r="G36" s="147"/>
      <c r="H36" s="148">
        <f t="shared" si="11"/>
        <v>0</v>
      </c>
      <c r="I36" s="149"/>
      <c r="J36" s="146"/>
      <c r="K36" s="147"/>
      <c r="L36" s="148">
        <f t="shared" si="12"/>
        <v>0</v>
      </c>
      <c r="M36" s="169"/>
      <c r="N36" s="146"/>
      <c r="O36" s="147"/>
      <c r="P36" s="148">
        <f t="shared" si="13"/>
        <v>0</v>
      </c>
      <c r="Q36" s="169"/>
      <c r="R36" s="146"/>
      <c r="S36" s="147"/>
      <c r="T36" s="148">
        <f t="shared" si="14"/>
        <v>0</v>
      </c>
      <c r="U36" s="169"/>
      <c r="V36" s="146"/>
      <c r="W36" s="147"/>
      <c r="X36" s="148">
        <f t="shared" si="15"/>
        <v>0</v>
      </c>
      <c r="Y36" s="169"/>
      <c r="Z36" s="146"/>
      <c r="AA36" s="147"/>
      <c r="AB36" s="148">
        <f t="shared" si="16"/>
        <v>0</v>
      </c>
      <c r="AC36" s="170" t="s">
        <v>2</v>
      </c>
      <c r="AD36" s="116"/>
    </row>
    <row r="37" spans="2:30" ht="15" customHeight="1">
      <c r="B37" s="111"/>
      <c r="C37" s="126"/>
      <c r="D37" s="171"/>
      <c r="E37" s="172"/>
      <c r="F37" s="146"/>
      <c r="G37" s="147">
        <v>0</v>
      </c>
      <c r="H37" s="148">
        <f aca="true" t="shared" si="17" ref="H37:H42">F37*G37</f>
        <v>0</v>
      </c>
      <c r="I37" s="149"/>
      <c r="J37" s="146"/>
      <c r="K37" s="147">
        <v>0</v>
      </c>
      <c r="L37" s="148">
        <f aca="true" t="shared" si="18" ref="L37:L42">J37*K37</f>
        <v>0</v>
      </c>
      <c r="M37" s="169"/>
      <c r="N37" s="146"/>
      <c r="O37" s="147">
        <v>0</v>
      </c>
      <c r="P37" s="148">
        <f aca="true" t="shared" si="19" ref="P37:P42">N37*O37</f>
        <v>0</v>
      </c>
      <c r="Q37" s="169"/>
      <c r="R37" s="146"/>
      <c r="S37" s="147">
        <v>0</v>
      </c>
      <c r="T37" s="148">
        <f aca="true" t="shared" si="20" ref="T37:T42">R37*S37</f>
        <v>0</v>
      </c>
      <c r="U37" s="169"/>
      <c r="V37" s="146"/>
      <c r="W37" s="147">
        <v>0</v>
      </c>
      <c r="X37" s="148">
        <f aca="true" t="shared" si="21" ref="X37:X42">V37*W37</f>
        <v>0</v>
      </c>
      <c r="Y37" s="169"/>
      <c r="Z37" s="146"/>
      <c r="AA37" s="147">
        <v>0</v>
      </c>
      <c r="AB37" s="148">
        <f aca="true" t="shared" si="22" ref="AB37:AB42">Z37*AA37</f>
        <v>0</v>
      </c>
      <c r="AC37" s="170"/>
      <c r="AD37" s="116"/>
    </row>
    <row r="38" spans="2:30" ht="15" customHeight="1">
      <c r="B38" s="111"/>
      <c r="C38" s="126"/>
      <c r="D38" s="171"/>
      <c r="E38" s="172"/>
      <c r="F38" s="146"/>
      <c r="G38" s="147">
        <v>0</v>
      </c>
      <c r="H38" s="148">
        <f t="shared" si="17"/>
        <v>0</v>
      </c>
      <c r="I38" s="149"/>
      <c r="J38" s="146"/>
      <c r="K38" s="147">
        <v>0</v>
      </c>
      <c r="L38" s="148">
        <f t="shared" si="18"/>
        <v>0</v>
      </c>
      <c r="M38" s="169"/>
      <c r="N38" s="146"/>
      <c r="O38" s="147">
        <v>0</v>
      </c>
      <c r="P38" s="148">
        <f t="shared" si="19"/>
        <v>0</v>
      </c>
      <c r="Q38" s="169"/>
      <c r="R38" s="146"/>
      <c r="S38" s="147">
        <v>0</v>
      </c>
      <c r="T38" s="148">
        <f t="shared" si="20"/>
        <v>0</v>
      </c>
      <c r="U38" s="169"/>
      <c r="V38" s="146"/>
      <c r="W38" s="147">
        <v>0</v>
      </c>
      <c r="X38" s="148">
        <f t="shared" si="21"/>
        <v>0</v>
      </c>
      <c r="Y38" s="169"/>
      <c r="Z38" s="146"/>
      <c r="AA38" s="147">
        <v>0</v>
      </c>
      <c r="AB38" s="148">
        <f t="shared" si="22"/>
        <v>0</v>
      </c>
      <c r="AC38" s="170"/>
      <c r="AD38" s="116"/>
    </row>
    <row r="39" spans="2:30" ht="15" customHeight="1">
      <c r="B39" s="111"/>
      <c r="C39" s="126"/>
      <c r="D39" s="171"/>
      <c r="E39" s="172"/>
      <c r="F39" s="146"/>
      <c r="G39" s="147">
        <v>0</v>
      </c>
      <c r="H39" s="148">
        <f t="shared" si="17"/>
        <v>0</v>
      </c>
      <c r="I39" s="149"/>
      <c r="J39" s="146"/>
      <c r="K39" s="147">
        <v>0</v>
      </c>
      <c r="L39" s="148">
        <f t="shared" si="18"/>
        <v>0</v>
      </c>
      <c r="M39" s="169"/>
      <c r="N39" s="146"/>
      <c r="O39" s="147">
        <v>0</v>
      </c>
      <c r="P39" s="148">
        <f t="shared" si="19"/>
        <v>0</v>
      </c>
      <c r="Q39" s="169"/>
      <c r="R39" s="146"/>
      <c r="S39" s="147">
        <v>0</v>
      </c>
      <c r="T39" s="148">
        <f t="shared" si="20"/>
        <v>0</v>
      </c>
      <c r="U39" s="169"/>
      <c r="V39" s="146"/>
      <c r="W39" s="147">
        <v>0</v>
      </c>
      <c r="X39" s="148">
        <f t="shared" si="21"/>
        <v>0</v>
      </c>
      <c r="Y39" s="169"/>
      <c r="Z39" s="146"/>
      <c r="AA39" s="147">
        <v>0</v>
      </c>
      <c r="AB39" s="148">
        <f t="shared" si="22"/>
        <v>0</v>
      </c>
      <c r="AC39" s="170"/>
      <c r="AD39" s="116"/>
    </row>
    <row r="40" spans="2:30" ht="15" customHeight="1">
      <c r="B40" s="111"/>
      <c r="C40" s="126"/>
      <c r="D40" s="171"/>
      <c r="E40" s="172"/>
      <c r="F40" s="146"/>
      <c r="G40" s="147">
        <v>0</v>
      </c>
      <c r="H40" s="148">
        <f t="shared" si="17"/>
        <v>0</v>
      </c>
      <c r="I40" s="149"/>
      <c r="J40" s="146"/>
      <c r="K40" s="147">
        <v>0</v>
      </c>
      <c r="L40" s="148">
        <f t="shared" si="18"/>
        <v>0</v>
      </c>
      <c r="M40" s="169"/>
      <c r="N40" s="146"/>
      <c r="O40" s="147">
        <v>0</v>
      </c>
      <c r="P40" s="148">
        <f t="shared" si="19"/>
        <v>0</v>
      </c>
      <c r="Q40" s="169"/>
      <c r="R40" s="146"/>
      <c r="S40" s="147">
        <v>0</v>
      </c>
      <c r="T40" s="148">
        <f t="shared" si="20"/>
        <v>0</v>
      </c>
      <c r="U40" s="169"/>
      <c r="V40" s="146"/>
      <c r="W40" s="147">
        <v>0</v>
      </c>
      <c r="X40" s="148">
        <f t="shared" si="21"/>
        <v>0</v>
      </c>
      <c r="Y40" s="169"/>
      <c r="Z40" s="146"/>
      <c r="AA40" s="147">
        <v>0</v>
      </c>
      <c r="AB40" s="148">
        <f t="shared" si="22"/>
        <v>0</v>
      </c>
      <c r="AC40" s="170"/>
      <c r="AD40" s="116"/>
    </row>
    <row r="41" spans="2:30" ht="15" customHeight="1">
      <c r="B41" s="111"/>
      <c r="C41" s="126"/>
      <c r="D41" s="171"/>
      <c r="E41" s="172"/>
      <c r="F41" s="146"/>
      <c r="G41" s="147">
        <v>0</v>
      </c>
      <c r="H41" s="148">
        <f t="shared" si="17"/>
        <v>0</v>
      </c>
      <c r="I41" s="149"/>
      <c r="J41" s="146"/>
      <c r="K41" s="147">
        <v>0</v>
      </c>
      <c r="L41" s="148">
        <f t="shared" si="18"/>
        <v>0</v>
      </c>
      <c r="M41" s="169"/>
      <c r="N41" s="146"/>
      <c r="O41" s="147">
        <v>0</v>
      </c>
      <c r="P41" s="148">
        <f t="shared" si="19"/>
        <v>0</v>
      </c>
      <c r="Q41" s="169"/>
      <c r="R41" s="146"/>
      <c r="S41" s="147">
        <v>0</v>
      </c>
      <c r="T41" s="148">
        <f t="shared" si="20"/>
        <v>0</v>
      </c>
      <c r="U41" s="169"/>
      <c r="V41" s="146"/>
      <c r="W41" s="147">
        <v>0</v>
      </c>
      <c r="X41" s="148">
        <f t="shared" si="21"/>
        <v>0</v>
      </c>
      <c r="Y41" s="169"/>
      <c r="Z41" s="146"/>
      <c r="AA41" s="147">
        <v>0</v>
      </c>
      <c r="AB41" s="148">
        <f t="shared" si="22"/>
        <v>0</v>
      </c>
      <c r="AC41" s="170"/>
      <c r="AD41" s="116"/>
    </row>
    <row r="42" spans="2:30" ht="15" customHeight="1">
      <c r="B42" s="111"/>
      <c r="C42" s="126"/>
      <c r="D42" s="171"/>
      <c r="E42" s="172"/>
      <c r="F42" s="146"/>
      <c r="G42" s="147">
        <v>0</v>
      </c>
      <c r="H42" s="148">
        <f t="shared" si="17"/>
        <v>0</v>
      </c>
      <c r="I42" s="149"/>
      <c r="J42" s="146"/>
      <c r="K42" s="147">
        <v>0</v>
      </c>
      <c r="L42" s="148">
        <f t="shared" si="18"/>
        <v>0</v>
      </c>
      <c r="M42" s="169"/>
      <c r="N42" s="146"/>
      <c r="O42" s="147">
        <v>0</v>
      </c>
      <c r="P42" s="148">
        <f t="shared" si="19"/>
        <v>0</v>
      </c>
      <c r="Q42" s="169"/>
      <c r="R42" s="146"/>
      <c r="S42" s="147">
        <v>0</v>
      </c>
      <c r="T42" s="148">
        <f t="shared" si="20"/>
        <v>0</v>
      </c>
      <c r="U42" s="169"/>
      <c r="V42" s="146"/>
      <c r="W42" s="147">
        <v>0</v>
      </c>
      <c r="X42" s="148">
        <f t="shared" si="21"/>
        <v>0</v>
      </c>
      <c r="Y42" s="169"/>
      <c r="Z42" s="146"/>
      <c r="AA42" s="147">
        <v>0</v>
      </c>
      <c r="AB42" s="148">
        <f t="shared" si="22"/>
        <v>0</v>
      </c>
      <c r="AC42" s="170"/>
      <c r="AD42" s="116"/>
    </row>
    <row r="43" spans="2:30" ht="15" customHeight="1">
      <c r="B43" s="111"/>
      <c r="C43" s="126"/>
      <c r="D43" s="151"/>
      <c r="E43" s="112"/>
      <c r="F43" s="146"/>
      <c r="G43" s="147">
        <v>0</v>
      </c>
      <c r="H43" s="148">
        <f t="shared" si="11"/>
        <v>0</v>
      </c>
      <c r="I43" s="149"/>
      <c r="J43" s="146"/>
      <c r="K43" s="147">
        <v>0</v>
      </c>
      <c r="L43" s="148">
        <f t="shared" si="12"/>
        <v>0</v>
      </c>
      <c r="M43" s="169"/>
      <c r="N43" s="146"/>
      <c r="O43" s="147">
        <v>0</v>
      </c>
      <c r="P43" s="148">
        <f t="shared" si="13"/>
        <v>0</v>
      </c>
      <c r="Q43" s="169"/>
      <c r="R43" s="146"/>
      <c r="S43" s="147">
        <v>0</v>
      </c>
      <c r="T43" s="148">
        <f t="shared" si="14"/>
        <v>0</v>
      </c>
      <c r="U43" s="169"/>
      <c r="V43" s="146"/>
      <c r="W43" s="147">
        <v>0</v>
      </c>
      <c r="X43" s="148">
        <f t="shared" si="15"/>
        <v>0</v>
      </c>
      <c r="Y43" s="169"/>
      <c r="Z43" s="146"/>
      <c r="AA43" s="147">
        <v>0</v>
      </c>
      <c r="AB43" s="148">
        <f t="shared" si="16"/>
        <v>0</v>
      </c>
      <c r="AC43" s="170"/>
      <c r="AD43" s="116"/>
    </row>
    <row r="44" spans="2:30" ht="15" customHeight="1">
      <c r="B44" s="111"/>
      <c r="C44" s="126"/>
      <c r="D44" s="151"/>
      <c r="E44" s="112"/>
      <c r="F44" s="146"/>
      <c r="G44" s="147">
        <v>0</v>
      </c>
      <c r="H44" s="148">
        <f t="shared" si="11"/>
        <v>0</v>
      </c>
      <c r="I44" s="149"/>
      <c r="J44" s="146"/>
      <c r="K44" s="147">
        <v>0</v>
      </c>
      <c r="L44" s="148">
        <f t="shared" si="12"/>
        <v>0</v>
      </c>
      <c r="M44" s="169"/>
      <c r="N44" s="146"/>
      <c r="O44" s="147">
        <v>0</v>
      </c>
      <c r="P44" s="148">
        <f t="shared" si="13"/>
        <v>0</v>
      </c>
      <c r="Q44" s="169"/>
      <c r="R44" s="146"/>
      <c r="S44" s="147">
        <v>0</v>
      </c>
      <c r="T44" s="148">
        <f t="shared" si="14"/>
        <v>0</v>
      </c>
      <c r="U44" s="169"/>
      <c r="V44" s="146"/>
      <c r="W44" s="147">
        <v>0</v>
      </c>
      <c r="X44" s="148">
        <f t="shared" si="15"/>
        <v>0</v>
      </c>
      <c r="Y44" s="169"/>
      <c r="Z44" s="146"/>
      <c r="AA44" s="147">
        <v>0</v>
      </c>
      <c r="AB44" s="148">
        <f t="shared" si="16"/>
        <v>0</v>
      </c>
      <c r="AC44" s="170"/>
      <c r="AD44" s="116"/>
    </row>
    <row r="45" spans="2:30" ht="15" customHeight="1">
      <c r="B45" s="111"/>
      <c r="C45" s="126"/>
      <c r="D45" s="151"/>
      <c r="E45" s="112"/>
      <c r="F45" s="146"/>
      <c r="G45" s="147">
        <v>0</v>
      </c>
      <c r="H45" s="148">
        <f t="shared" si="11"/>
        <v>0</v>
      </c>
      <c r="I45" s="149"/>
      <c r="J45" s="146"/>
      <c r="K45" s="147">
        <v>0</v>
      </c>
      <c r="L45" s="148">
        <f t="shared" si="12"/>
        <v>0</v>
      </c>
      <c r="M45" s="169"/>
      <c r="N45" s="146"/>
      <c r="O45" s="147">
        <v>0</v>
      </c>
      <c r="P45" s="148">
        <f t="shared" si="13"/>
        <v>0</v>
      </c>
      <c r="Q45" s="169"/>
      <c r="R45" s="146"/>
      <c r="S45" s="147">
        <v>0</v>
      </c>
      <c r="T45" s="148">
        <f t="shared" si="14"/>
        <v>0</v>
      </c>
      <c r="U45" s="169"/>
      <c r="V45" s="146"/>
      <c r="W45" s="147">
        <v>0</v>
      </c>
      <c r="X45" s="148">
        <f t="shared" si="15"/>
        <v>0</v>
      </c>
      <c r="Y45" s="169"/>
      <c r="Z45" s="146"/>
      <c r="AA45" s="147">
        <v>0</v>
      </c>
      <c r="AB45" s="148">
        <f t="shared" si="16"/>
        <v>0</v>
      </c>
      <c r="AC45" s="170"/>
      <c r="AD45" s="116"/>
    </row>
    <row r="46" spans="2:30" ht="15" customHeight="1">
      <c r="B46" s="111"/>
      <c r="C46" s="126"/>
      <c r="D46" s="151"/>
      <c r="E46" s="112"/>
      <c r="F46" s="146"/>
      <c r="G46" s="147">
        <v>0</v>
      </c>
      <c r="H46" s="148">
        <f t="shared" si="11"/>
        <v>0</v>
      </c>
      <c r="I46" s="149"/>
      <c r="J46" s="146"/>
      <c r="K46" s="147">
        <v>0</v>
      </c>
      <c r="L46" s="148">
        <f t="shared" si="12"/>
        <v>0</v>
      </c>
      <c r="M46" s="169"/>
      <c r="N46" s="146"/>
      <c r="O46" s="147">
        <v>0</v>
      </c>
      <c r="P46" s="148">
        <f t="shared" si="13"/>
        <v>0</v>
      </c>
      <c r="Q46" s="169"/>
      <c r="R46" s="146"/>
      <c r="S46" s="147">
        <v>0</v>
      </c>
      <c r="T46" s="148">
        <f t="shared" si="14"/>
        <v>0</v>
      </c>
      <c r="U46" s="169"/>
      <c r="V46" s="146"/>
      <c r="W46" s="147">
        <v>0</v>
      </c>
      <c r="X46" s="148">
        <f t="shared" si="15"/>
        <v>0</v>
      </c>
      <c r="Y46" s="169"/>
      <c r="Z46" s="146"/>
      <c r="AA46" s="147">
        <v>0</v>
      </c>
      <c r="AB46" s="148">
        <f t="shared" si="16"/>
        <v>0</v>
      </c>
      <c r="AC46" s="170"/>
      <c r="AD46" s="116"/>
    </row>
    <row r="47" spans="2:30" ht="15" customHeight="1">
      <c r="B47" s="111"/>
      <c r="C47" s="126"/>
      <c r="D47" s="151"/>
      <c r="E47" s="112"/>
      <c r="F47" s="146"/>
      <c r="G47" s="147">
        <v>0</v>
      </c>
      <c r="H47" s="148">
        <f t="shared" si="11"/>
        <v>0</v>
      </c>
      <c r="I47" s="149"/>
      <c r="J47" s="146"/>
      <c r="K47" s="147">
        <v>0</v>
      </c>
      <c r="L47" s="148">
        <f t="shared" si="12"/>
        <v>0</v>
      </c>
      <c r="M47" s="169"/>
      <c r="N47" s="146"/>
      <c r="O47" s="147">
        <v>0</v>
      </c>
      <c r="P47" s="148">
        <f t="shared" si="13"/>
        <v>0</v>
      </c>
      <c r="Q47" s="169"/>
      <c r="R47" s="146"/>
      <c r="S47" s="147">
        <v>0</v>
      </c>
      <c r="T47" s="148">
        <f t="shared" si="14"/>
        <v>0</v>
      </c>
      <c r="U47" s="169"/>
      <c r="V47" s="146"/>
      <c r="W47" s="147">
        <v>0</v>
      </c>
      <c r="X47" s="148">
        <f t="shared" si="15"/>
        <v>0</v>
      </c>
      <c r="Y47" s="169"/>
      <c r="Z47" s="146"/>
      <c r="AA47" s="147">
        <v>0</v>
      </c>
      <c r="AB47" s="148">
        <f t="shared" si="16"/>
        <v>0</v>
      </c>
      <c r="AC47" s="170"/>
      <c r="AD47" s="116"/>
    </row>
    <row r="48" spans="2:30" ht="15" customHeight="1">
      <c r="B48" s="111"/>
      <c r="C48" s="126"/>
      <c r="D48" s="154" t="s">
        <v>88</v>
      </c>
      <c r="E48" s="113"/>
      <c r="F48" s="155">
        <f>SUM(F33:F47)</f>
        <v>3</v>
      </c>
      <c r="G48" s="156"/>
      <c r="H48" s="157">
        <f>SUM(H33:H47)</f>
        <v>176741</v>
      </c>
      <c r="I48" s="158"/>
      <c r="J48" s="155">
        <f>SUM(J33:J47)</f>
        <v>3</v>
      </c>
      <c r="K48" s="156"/>
      <c r="L48" s="157">
        <f>SUM(L33:L47)</f>
        <v>182043.23</v>
      </c>
      <c r="M48" s="173"/>
      <c r="N48" s="155">
        <f>SUM(N33:N47)</f>
        <v>3</v>
      </c>
      <c r="O48" s="156"/>
      <c r="P48" s="157">
        <f>SUM(P33:P47)</f>
        <v>187504.5269</v>
      </c>
      <c r="Q48" s="173"/>
      <c r="R48" s="155">
        <f>SUM(R33:R47)</f>
        <v>3</v>
      </c>
      <c r="S48" s="156"/>
      <c r="T48" s="157">
        <f>SUM(T33:T47)</f>
        <v>193129.662707</v>
      </c>
      <c r="U48" s="173"/>
      <c r="V48" s="155">
        <f>SUM(V33:V47)</f>
        <v>3</v>
      </c>
      <c r="W48" s="156"/>
      <c r="X48" s="157">
        <f>SUM(X33:X47)</f>
        <v>198923.55258821</v>
      </c>
      <c r="Y48" s="173"/>
      <c r="Z48" s="155">
        <f>SUM(Z33:Z47)</f>
        <v>3</v>
      </c>
      <c r="AA48" s="156"/>
      <c r="AB48" s="157">
        <f>SUM(AB33:AB47)</f>
        <v>204891.25916585632</v>
      </c>
      <c r="AC48" s="170"/>
      <c r="AD48" s="116"/>
    </row>
    <row r="49" spans="2:30" ht="15" customHeight="1">
      <c r="B49" s="111"/>
      <c r="C49" s="126"/>
      <c r="D49" s="174"/>
      <c r="E49" s="113"/>
      <c r="F49" s="175"/>
      <c r="G49" s="176"/>
      <c r="H49" s="177"/>
      <c r="I49" s="158"/>
      <c r="J49" s="175"/>
      <c r="K49" s="178"/>
      <c r="L49" s="179"/>
      <c r="M49" s="173"/>
      <c r="N49" s="175"/>
      <c r="O49" s="178"/>
      <c r="P49" s="179"/>
      <c r="Q49" s="173"/>
      <c r="R49" s="175"/>
      <c r="S49" s="178"/>
      <c r="T49" s="179"/>
      <c r="U49" s="173"/>
      <c r="V49" s="175"/>
      <c r="W49" s="178"/>
      <c r="X49" s="179"/>
      <c r="Y49" s="173"/>
      <c r="Z49" s="175"/>
      <c r="AA49" s="149"/>
      <c r="AB49" s="180"/>
      <c r="AC49" s="170"/>
      <c r="AD49" s="116"/>
    </row>
    <row r="50" spans="2:35" ht="43.5" customHeight="1">
      <c r="B50" s="111"/>
      <c r="C50" s="126"/>
      <c r="D50" s="181"/>
      <c r="E50" s="127"/>
      <c r="F50" s="182"/>
      <c r="G50" s="132" t="s">
        <v>86</v>
      </c>
      <c r="H50" s="133" t="s">
        <v>81</v>
      </c>
      <c r="I50" s="134"/>
      <c r="J50" s="182"/>
      <c r="K50" s="132" t="s">
        <v>86</v>
      </c>
      <c r="L50" s="133" t="s">
        <v>81</v>
      </c>
      <c r="M50" s="134"/>
      <c r="N50" s="182"/>
      <c r="O50" s="132" t="s">
        <v>86</v>
      </c>
      <c r="P50" s="133" t="s">
        <v>81</v>
      </c>
      <c r="Q50" s="134"/>
      <c r="R50" s="182"/>
      <c r="S50" s="183" t="s">
        <v>86</v>
      </c>
      <c r="T50" s="133" t="s">
        <v>81</v>
      </c>
      <c r="U50" s="134"/>
      <c r="V50" s="182"/>
      <c r="W50" s="132" t="s">
        <v>86</v>
      </c>
      <c r="X50" s="133" t="s">
        <v>81</v>
      </c>
      <c r="Y50" s="134"/>
      <c r="Z50" s="182"/>
      <c r="AA50" s="133" t="s">
        <v>86</v>
      </c>
      <c r="AB50" s="133" t="s">
        <v>81</v>
      </c>
      <c r="AC50" s="128"/>
      <c r="AD50" s="129"/>
      <c r="AE50" s="184"/>
      <c r="AF50" s="184"/>
      <c r="AG50" s="184"/>
      <c r="AH50" s="184"/>
      <c r="AI50" s="184"/>
    </row>
    <row r="51" spans="2:35" ht="15" customHeight="1">
      <c r="B51" s="111"/>
      <c r="C51" s="126"/>
      <c r="D51" s="135" t="s">
        <v>85</v>
      </c>
      <c r="E51" s="136"/>
      <c r="F51" s="185"/>
      <c r="G51" s="186"/>
      <c r="H51" s="187"/>
      <c r="I51" s="188"/>
      <c r="J51" s="189"/>
      <c r="K51" s="190"/>
      <c r="L51" s="191"/>
      <c r="M51" s="1"/>
      <c r="N51" s="189"/>
      <c r="O51" s="190"/>
      <c r="P51" s="191"/>
      <c r="Q51" s="1"/>
      <c r="R51" s="189"/>
      <c r="S51" s="190"/>
      <c r="T51" s="191"/>
      <c r="U51" s="1"/>
      <c r="V51" s="189"/>
      <c r="W51" s="190"/>
      <c r="X51" s="191"/>
      <c r="Y51" s="1"/>
      <c r="Z51" s="189"/>
      <c r="AA51" s="1"/>
      <c r="AB51" s="192"/>
      <c r="AC51" s="170"/>
      <c r="AD51" s="116"/>
      <c r="AE51" s="106"/>
      <c r="AF51" s="106"/>
      <c r="AG51" s="106"/>
      <c r="AH51" s="106"/>
      <c r="AI51" s="106"/>
    </row>
    <row r="52" spans="2:48" s="105" customFormat="1" ht="15" customHeight="1">
      <c r="B52" s="111"/>
      <c r="C52" s="126"/>
      <c r="D52" s="193" t="s">
        <v>402</v>
      </c>
      <c r="E52" s="112"/>
      <c r="F52" s="194"/>
      <c r="G52" s="195">
        <f>115739.86/H63</f>
        <v>8267.132857142857</v>
      </c>
      <c r="H52" s="148">
        <f>G52*($F$30+$F$48)</f>
        <v>115739.85999999999</v>
      </c>
      <c r="I52" s="149"/>
      <c r="J52" s="196"/>
      <c r="K52" s="195">
        <f>G52*1.03</f>
        <v>8515.146842857142</v>
      </c>
      <c r="L52" s="148">
        <f>K52*($J$30+$J$48)</f>
        <v>102181.76211428571</v>
      </c>
      <c r="M52" s="149"/>
      <c r="N52" s="196"/>
      <c r="O52" s="195">
        <f>K52*1.03</f>
        <v>8770.601248142857</v>
      </c>
      <c r="P52" s="148">
        <f>O52*($N$30+$N$48)</f>
        <v>105247.21497771429</v>
      </c>
      <c r="Q52" s="149"/>
      <c r="R52" s="196"/>
      <c r="S52" s="195">
        <f>O52*1.03</f>
        <v>9033.719285587144</v>
      </c>
      <c r="T52" s="148">
        <f>S52*($R$30+$R$48)</f>
        <v>108404.63142704572</v>
      </c>
      <c r="U52" s="149"/>
      <c r="V52" s="196"/>
      <c r="W52" s="195">
        <f>S52*1.03</f>
        <v>9304.730864154759</v>
      </c>
      <c r="X52" s="148">
        <f>W52*($V$30+$V$48)</f>
        <v>120961.50123401187</v>
      </c>
      <c r="Y52" s="149"/>
      <c r="Z52" s="196"/>
      <c r="AA52" s="195">
        <f>W52*1.03</f>
        <v>9583.872790079402</v>
      </c>
      <c r="AB52" s="148">
        <f>AA52*($Z$30+$Z$48)</f>
        <v>124590.34627103222</v>
      </c>
      <c r="AC52" s="170"/>
      <c r="AD52" s="116"/>
      <c r="AE52" s="106"/>
      <c r="AF52" s="106"/>
      <c r="AG52" s="106"/>
      <c r="AH52" s="106"/>
      <c r="AI52" s="106"/>
      <c r="AJ52" s="106"/>
      <c r="AK52" s="106"/>
      <c r="AL52" s="106"/>
      <c r="AM52" s="106"/>
      <c r="AN52" s="106"/>
      <c r="AO52" s="106"/>
      <c r="AP52" s="106"/>
      <c r="AQ52" s="106"/>
      <c r="AR52" s="106"/>
      <c r="AS52" s="106"/>
      <c r="AT52" s="106"/>
      <c r="AU52" s="106"/>
      <c r="AV52" s="106"/>
    </row>
    <row r="53" spans="2:48" s="105" customFormat="1" ht="15" customHeight="1">
      <c r="B53" s="111"/>
      <c r="C53" s="126"/>
      <c r="D53" s="197" t="s">
        <v>446</v>
      </c>
      <c r="E53" s="112"/>
      <c r="F53" s="194"/>
      <c r="G53" s="195">
        <f>35566.97/H63</f>
        <v>2540.4978571428574</v>
      </c>
      <c r="H53" s="148">
        <f>G53*($F$30+$F$48)</f>
        <v>35566.97</v>
      </c>
      <c r="I53" s="149"/>
      <c r="J53" s="196"/>
      <c r="K53" s="195">
        <f>G53*1.03</f>
        <v>2616.712792857143</v>
      </c>
      <c r="L53" s="148">
        <f>K53*($J$30+$J$48)</f>
        <v>31400.55351428572</v>
      </c>
      <c r="M53" s="149"/>
      <c r="N53" s="196"/>
      <c r="O53" s="195">
        <f>K53*1.03</f>
        <v>2695.2141766428576</v>
      </c>
      <c r="P53" s="148">
        <f>O53*($N$30+$N$48)</f>
        <v>32342.57011971429</v>
      </c>
      <c r="Q53" s="149"/>
      <c r="R53" s="196"/>
      <c r="S53" s="195">
        <f>O53*1.03</f>
        <v>2776.0706019421436</v>
      </c>
      <c r="T53" s="148">
        <f>S53*($R$30+$R$48)</f>
        <v>33312.847223305725</v>
      </c>
      <c r="U53" s="149"/>
      <c r="V53" s="196"/>
      <c r="W53" s="195">
        <f>S53*1.03</f>
        <v>2859.352720000408</v>
      </c>
      <c r="X53" s="148">
        <f>W53*($V$30+$V$48)</f>
        <v>37171.58536000531</v>
      </c>
      <c r="Y53" s="149"/>
      <c r="Z53" s="196"/>
      <c r="AA53" s="195">
        <f>W53*1.03</f>
        <v>2945.1333016004205</v>
      </c>
      <c r="AB53" s="148">
        <f>AA53*($Z$30+$Z$48)</f>
        <v>38286.732920805465</v>
      </c>
      <c r="AC53" s="170"/>
      <c r="AD53" s="116"/>
      <c r="AE53" s="106"/>
      <c r="AF53" s="106"/>
      <c r="AG53" s="106"/>
      <c r="AH53" s="106"/>
      <c r="AI53" s="106"/>
      <c r="AJ53" s="106"/>
      <c r="AK53" s="106"/>
      <c r="AL53" s="106"/>
      <c r="AM53" s="106"/>
      <c r="AN53" s="106"/>
      <c r="AO53" s="106"/>
      <c r="AP53" s="106"/>
      <c r="AQ53" s="106"/>
      <c r="AR53" s="106"/>
      <c r="AS53" s="106"/>
      <c r="AT53" s="106"/>
      <c r="AU53" s="106"/>
      <c r="AV53" s="106"/>
    </row>
    <row r="54" spans="2:48" s="105" customFormat="1" ht="15" customHeight="1">
      <c r="B54" s="111"/>
      <c r="C54" s="126"/>
      <c r="D54" s="197" t="s">
        <v>447</v>
      </c>
      <c r="E54" s="112"/>
      <c r="F54" s="194"/>
      <c r="G54" s="198">
        <v>0.062</v>
      </c>
      <c r="H54" s="148">
        <f>G54*($H$30+$H$48)</f>
        <v>48330.301999999996</v>
      </c>
      <c r="I54" s="149"/>
      <c r="J54" s="196"/>
      <c r="K54" s="198">
        <v>0.062</v>
      </c>
      <c r="L54" s="148">
        <f>K54*($L$30+$L$48)</f>
        <v>45094.589993333335</v>
      </c>
      <c r="M54" s="149"/>
      <c r="N54" s="196"/>
      <c r="O54" s="198">
        <v>0.062</v>
      </c>
      <c r="P54" s="148">
        <f>O54*($P$30+$P$48)</f>
        <v>46447.42769313333</v>
      </c>
      <c r="Q54" s="149"/>
      <c r="R54" s="196"/>
      <c r="S54" s="199">
        <v>0.062</v>
      </c>
      <c r="T54" s="148">
        <f>S54*($T$30+$T$48)</f>
        <v>47840.850523927336</v>
      </c>
      <c r="U54" s="149"/>
      <c r="V54" s="196"/>
      <c r="W54" s="198">
        <v>0.062</v>
      </c>
      <c r="X54" s="148">
        <f>W54*($X$30+$X$48)</f>
        <v>51836.128365302895</v>
      </c>
      <c r="Y54" s="149"/>
      <c r="Z54" s="196"/>
      <c r="AA54" s="198">
        <v>0.062</v>
      </c>
      <c r="AB54" s="148">
        <f>AA54*($AB$30+$AB$48)</f>
        <v>53391.21221626197</v>
      </c>
      <c r="AC54" s="170"/>
      <c r="AD54" s="116"/>
      <c r="AE54" s="106"/>
      <c r="AF54" s="106"/>
      <c r="AG54" s="106"/>
      <c r="AH54" s="106"/>
      <c r="AI54" s="106"/>
      <c r="AJ54" s="106"/>
      <c r="AK54" s="106"/>
      <c r="AL54" s="106"/>
      <c r="AM54" s="106"/>
      <c r="AN54" s="106"/>
      <c r="AO54" s="106"/>
      <c r="AP54" s="106"/>
      <c r="AQ54" s="106"/>
      <c r="AR54" s="106"/>
      <c r="AS54" s="106"/>
      <c r="AT54" s="106"/>
      <c r="AU54" s="106"/>
      <c r="AV54" s="106"/>
    </row>
    <row r="55" spans="2:48" s="105" customFormat="1" ht="15" customHeight="1">
      <c r="B55" s="111"/>
      <c r="C55" s="126"/>
      <c r="D55" s="197" t="s">
        <v>82</v>
      </c>
      <c r="E55" s="112"/>
      <c r="F55" s="194"/>
      <c r="G55" s="200">
        <v>0.0145</v>
      </c>
      <c r="H55" s="148">
        <f>G55*($H$30+$H$48)</f>
        <v>11303.0545</v>
      </c>
      <c r="I55" s="149"/>
      <c r="J55" s="196"/>
      <c r="K55" s="200">
        <v>0.0145</v>
      </c>
      <c r="L55" s="148">
        <f>K55*($L$30+$L$48)</f>
        <v>10546.315401666667</v>
      </c>
      <c r="M55" s="149"/>
      <c r="N55" s="196"/>
      <c r="O55" s="200">
        <v>0.0145</v>
      </c>
      <c r="P55" s="148">
        <f>O55*($P$30+$P$48)</f>
        <v>10862.704863716666</v>
      </c>
      <c r="Q55" s="149"/>
      <c r="R55" s="196"/>
      <c r="S55" s="201">
        <v>0.0145</v>
      </c>
      <c r="T55" s="148">
        <f>S55*($T$30+$T$48)</f>
        <v>11188.586009628169</v>
      </c>
      <c r="U55" s="149"/>
      <c r="V55" s="196"/>
      <c r="W55" s="200">
        <v>0.0145</v>
      </c>
      <c r="X55" s="148">
        <f>W55*($X$30+$X$48)</f>
        <v>12122.96550478858</v>
      </c>
      <c r="Y55" s="149"/>
      <c r="Z55" s="196"/>
      <c r="AA55" s="200">
        <v>0.0145</v>
      </c>
      <c r="AB55" s="148">
        <f>AA55*($AB$30+$AB$48)</f>
        <v>12486.654469932237</v>
      </c>
      <c r="AC55" s="170"/>
      <c r="AD55" s="116"/>
      <c r="AE55" s="106"/>
      <c r="AF55" s="106"/>
      <c r="AG55" s="106"/>
      <c r="AH55" s="106"/>
      <c r="AI55" s="106"/>
      <c r="AJ55" s="106"/>
      <c r="AK55" s="106"/>
      <c r="AL55" s="106"/>
      <c r="AM55" s="106"/>
      <c r="AN55" s="106"/>
      <c r="AO55" s="106"/>
      <c r="AP55" s="106"/>
      <c r="AQ55" s="106"/>
      <c r="AR55" s="106"/>
      <c r="AS55" s="106"/>
      <c r="AT55" s="106"/>
      <c r="AU55" s="106"/>
      <c r="AV55" s="106"/>
    </row>
    <row r="56" spans="2:48" s="105" customFormat="1" ht="15" customHeight="1">
      <c r="B56" s="111"/>
      <c r="C56" s="126"/>
      <c r="D56" s="197" t="s">
        <v>83</v>
      </c>
      <c r="E56" s="112"/>
      <c r="F56" s="194"/>
      <c r="G56" s="198">
        <v>0.025</v>
      </c>
      <c r="H56" s="148">
        <f>G56*($H$30+$H$48)</f>
        <v>19488.025</v>
      </c>
      <c r="I56" s="149"/>
      <c r="J56" s="196"/>
      <c r="K56" s="198">
        <v>0.025</v>
      </c>
      <c r="L56" s="148">
        <f>K56*($L$30+$L$48)</f>
        <v>18183.30241666667</v>
      </c>
      <c r="M56" s="149"/>
      <c r="N56" s="196"/>
      <c r="O56" s="198">
        <v>0.025</v>
      </c>
      <c r="P56" s="148">
        <f>O56*($P$30+$P$48)</f>
        <v>18728.801489166664</v>
      </c>
      <c r="Q56" s="149"/>
      <c r="R56" s="196"/>
      <c r="S56" s="199">
        <v>0.025</v>
      </c>
      <c r="T56" s="148">
        <f>S56*($T$30+$T$48)</f>
        <v>19290.66553384167</v>
      </c>
      <c r="U56" s="149"/>
      <c r="V56" s="196"/>
      <c r="W56" s="198">
        <v>0.025</v>
      </c>
      <c r="X56" s="148">
        <f>W56*($X$30+$X$48)</f>
        <v>20901.664663428586</v>
      </c>
      <c r="Y56" s="149"/>
      <c r="Z56" s="196"/>
      <c r="AA56" s="198">
        <v>0.025</v>
      </c>
      <c r="AB56" s="148">
        <f>AA56*($AB$30+$AB$48)</f>
        <v>21528.714603331442</v>
      </c>
      <c r="AC56" s="170"/>
      <c r="AD56" s="116"/>
      <c r="AE56" s="106"/>
      <c r="AF56" s="106"/>
      <c r="AG56" s="106"/>
      <c r="AH56" s="106"/>
      <c r="AI56" s="106"/>
      <c r="AJ56" s="106"/>
      <c r="AK56" s="106"/>
      <c r="AL56" s="106"/>
      <c r="AM56" s="106"/>
      <c r="AN56" s="106"/>
      <c r="AO56" s="106"/>
      <c r="AP56" s="106"/>
      <c r="AQ56" s="106"/>
      <c r="AR56" s="106"/>
      <c r="AS56" s="106"/>
      <c r="AT56" s="106"/>
      <c r="AU56" s="106"/>
      <c r="AV56" s="106"/>
    </row>
    <row r="57" spans="2:48" s="105" customFormat="1" ht="15" customHeight="1">
      <c r="B57" s="111"/>
      <c r="C57" s="126"/>
      <c r="D57" s="197"/>
      <c r="E57" s="112"/>
      <c r="F57" s="185"/>
      <c r="G57" s="391"/>
      <c r="H57" s="389"/>
      <c r="I57" s="149"/>
      <c r="J57" s="189"/>
      <c r="K57" s="391"/>
      <c r="L57" s="389"/>
      <c r="M57" s="149"/>
      <c r="N57" s="189"/>
      <c r="O57" s="391"/>
      <c r="P57" s="389"/>
      <c r="Q57" s="149"/>
      <c r="R57" s="189"/>
      <c r="S57" s="391"/>
      <c r="T57" s="389"/>
      <c r="U57" s="149"/>
      <c r="V57" s="189"/>
      <c r="W57" s="391"/>
      <c r="X57" s="389"/>
      <c r="Y57" s="149"/>
      <c r="Z57" s="189"/>
      <c r="AA57" s="391"/>
      <c r="AB57" s="389"/>
      <c r="AC57" s="170"/>
      <c r="AD57" s="116"/>
      <c r="AE57" s="106"/>
      <c r="AF57" s="106"/>
      <c r="AG57" s="106"/>
      <c r="AH57" s="106"/>
      <c r="AI57" s="106"/>
      <c r="AJ57" s="106"/>
      <c r="AK57" s="106"/>
      <c r="AL57" s="106"/>
      <c r="AM57" s="106"/>
      <c r="AN57" s="106"/>
      <c r="AO57" s="106"/>
      <c r="AP57" s="106"/>
      <c r="AQ57" s="106"/>
      <c r="AR57" s="106"/>
      <c r="AS57" s="106"/>
      <c r="AT57" s="106"/>
      <c r="AU57" s="106"/>
      <c r="AV57" s="106"/>
    </row>
    <row r="58" spans="2:48" s="105" customFormat="1" ht="15" customHeight="1">
      <c r="B58" s="111"/>
      <c r="C58" s="126"/>
      <c r="D58" s="197" t="s">
        <v>448</v>
      </c>
      <c r="E58" s="112"/>
      <c r="F58" s="390"/>
      <c r="G58" s="393"/>
      <c r="H58" s="195">
        <v>0</v>
      </c>
      <c r="I58" s="149"/>
      <c r="J58" s="392"/>
      <c r="K58" s="393"/>
      <c r="L58" s="195">
        <v>0</v>
      </c>
      <c r="M58" s="149"/>
      <c r="N58" s="392"/>
      <c r="O58" s="393"/>
      <c r="P58" s="195">
        <v>0</v>
      </c>
      <c r="Q58" s="149"/>
      <c r="R58" s="392"/>
      <c r="S58" s="393"/>
      <c r="T58" s="195">
        <v>0</v>
      </c>
      <c r="U58" s="149"/>
      <c r="V58" s="392"/>
      <c r="W58" s="393"/>
      <c r="X58" s="195">
        <v>0</v>
      </c>
      <c r="Y58" s="149"/>
      <c r="Z58" s="392"/>
      <c r="AA58" s="393"/>
      <c r="AB58" s="195">
        <v>0</v>
      </c>
      <c r="AC58" s="170"/>
      <c r="AD58" s="116"/>
      <c r="AE58" s="106"/>
      <c r="AF58" s="106"/>
      <c r="AG58" s="106"/>
      <c r="AH58" s="106"/>
      <c r="AI58" s="106"/>
      <c r="AJ58" s="106"/>
      <c r="AK58" s="106"/>
      <c r="AL58" s="106"/>
      <c r="AM58" s="106"/>
      <c r="AN58" s="106"/>
      <c r="AO58" s="106"/>
      <c r="AP58" s="106"/>
      <c r="AQ58" s="106"/>
      <c r="AR58" s="106"/>
      <c r="AS58" s="106"/>
      <c r="AT58" s="106"/>
      <c r="AU58" s="106"/>
      <c r="AV58" s="106"/>
    </row>
    <row r="59" spans="1:35" s="109" customFormat="1" ht="15" customHeight="1">
      <c r="A59" s="106"/>
      <c r="B59" s="111"/>
      <c r="C59" s="202"/>
      <c r="D59" s="203"/>
      <c r="E59" s="204"/>
      <c r="F59" s="205"/>
      <c r="G59" s="206"/>
      <c r="H59" s="207"/>
      <c r="I59" s="176"/>
      <c r="J59" s="208"/>
      <c r="K59" s="206"/>
      <c r="L59" s="207"/>
      <c r="M59" s="176"/>
      <c r="N59" s="208"/>
      <c r="O59" s="206"/>
      <c r="P59" s="207"/>
      <c r="Q59" s="176"/>
      <c r="R59" s="208"/>
      <c r="S59" s="206"/>
      <c r="T59" s="207"/>
      <c r="U59" s="176"/>
      <c r="V59" s="208"/>
      <c r="W59" s="206"/>
      <c r="X59" s="207"/>
      <c r="Y59" s="176"/>
      <c r="Z59" s="208"/>
      <c r="AA59" s="206"/>
      <c r="AB59" s="207"/>
      <c r="AC59" s="209"/>
      <c r="AD59" s="116"/>
      <c r="AE59" s="210"/>
      <c r="AF59" s="106"/>
      <c r="AG59" s="106"/>
      <c r="AH59" s="106"/>
      <c r="AI59" s="106"/>
    </row>
    <row r="60" spans="1:35" s="109" customFormat="1" ht="15" customHeight="1">
      <c r="A60" s="106"/>
      <c r="B60" s="111"/>
      <c r="C60" s="112"/>
      <c r="D60" s="161"/>
      <c r="E60" s="113"/>
      <c r="F60" s="112"/>
      <c r="G60" s="211"/>
      <c r="H60" s="212"/>
      <c r="I60" s="158"/>
      <c r="J60" s="173"/>
      <c r="K60" s="211"/>
      <c r="L60" s="212"/>
      <c r="M60" s="158"/>
      <c r="N60" s="173"/>
      <c r="O60" s="211"/>
      <c r="P60" s="212"/>
      <c r="Q60" s="158"/>
      <c r="R60" s="173"/>
      <c r="S60" s="211"/>
      <c r="T60" s="212"/>
      <c r="U60" s="158"/>
      <c r="V60" s="173"/>
      <c r="W60" s="211"/>
      <c r="X60" s="212"/>
      <c r="Y60" s="158"/>
      <c r="Z60" s="173"/>
      <c r="AA60" s="211"/>
      <c r="AB60" s="212"/>
      <c r="AC60" s="112"/>
      <c r="AD60" s="116"/>
      <c r="AE60" s="210"/>
      <c r="AF60" s="106"/>
      <c r="AG60" s="106"/>
      <c r="AH60" s="106"/>
      <c r="AI60" s="106"/>
    </row>
    <row r="61" spans="1:35" s="109" customFormat="1" ht="15" customHeight="1">
      <c r="A61" s="106"/>
      <c r="B61" s="111"/>
      <c r="C61" s="122"/>
      <c r="D61" s="213"/>
      <c r="E61" s="214"/>
      <c r="F61" s="123"/>
      <c r="G61" s="215"/>
      <c r="H61" s="216"/>
      <c r="I61" s="217"/>
      <c r="J61" s="218"/>
      <c r="K61" s="215"/>
      <c r="L61" s="216"/>
      <c r="M61" s="217"/>
      <c r="N61" s="218"/>
      <c r="O61" s="215"/>
      <c r="P61" s="216"/>
      <c r="Q61" s="217"/>
      <c r="R61" s="218"/>
      <c r="S61" s="215"/>
      <c r="T61" s="216"/>
      <c r="U61" s="217"/>
      <c r="V61" s="218"/>
      <c r="W61" s="215"/>
      <c r="X61" s="216"/>
      <c r="Y61" s="217"/>
      <c r="Z61" s="218"/>
      <c r="AA61" s="215"/>
      <c r="AB61" s="216"/>
      <c r="AC61" s="124"/>
      <c r="AD61" s="116"/>
      <c r="AE61" s="210"/>
      <c r="AF61" s="106"/>
      <c r="AG61" s="106"/>
      <c r="AH61" s="106"/>
      <c r="AI61" s="106"/>
    </row>
    <row r="62" spans="2:35" ht="15" customHeight="1">
      <c r="B62" s="111"/>
      <c r="C62" s="126"/>
      <c r="D62" s="219" t="s">
        <v>89</v>
      </c>
      <c r="E62" s="113"/>
      <c r="F62" s="488" t="s">
        <v>518</v>
      </c>
      <c r="G62" s="489"/>
      <c r="H62" s="490"/>
      <c r="I62" s="112"/>
      <c r="J62" s="488" t="s">
        <v>7</v>
      </c>
      <c r="K62" s="489"/>
      <c r="L62" s="490"/>
      <c r="M62" s="112"/>
      <c r="N62" s="488" t="s">
        <v>8</v>
      </c>
      <c r="O62" s="489"/>
      <c r="P62" s="490"/>
      <c r="Q62" s="112"/>
      <c r="R62" s="488" t="s">
        <v>9</v>
      </c>
      <c r="S62" s="489"/>
      <c r="T62" s="490"/>
      <c r="U62" s="112"/>
      <c r="V62" s="488" t="s">
        <v>10</v>
      </c>
      <c r="W62" s="489"/>
      <c r="X62" s="490"/>
      <c r="Y62" s="112"/>
      <c r="Z62" s="488" t="s">
        <v>11</v>
      </c>
      <c r="AA62" s="489"/>
      <c r="AB62" s="490"/>
      <c r="AC62" s="125"/>
      <c r="AD62" s="116"/>
      <c r="AE62" s="106"/>
      <c r="AF62" s="106"/>
      <c r="AG62" s="106"/>
      <c r="AH62" s="106"/>
      <c r="AI62" s="106"/>
    </row>
    <row r="63" spans="2:35" ht="15" customHeight="1">
      <c r="B63" s="111"/>
      <c r="C63" s="126"/>
      <c r="D63" s="113"/>
      <c r="E63" s="220"/>
      <c r="F63" s="221" t="s">
        <v>57</v>
      </c>
      <c r="G63" s="222"/>
      <c r="H63" s="180">
        <f>F30+F48</f>
        <v>14</v>
      </c>
      <c r="I63" s="222"/>
      <c r="J63" s="221" t="s">
        <v>57</v>
      </c>
      <c r="K63" s="220"/>
      <c r="L63" s="180">
        <f>J30+J48</f>
        <v>12</v>
      </c>
      <c r="M63" s="220"/>
      <c r="N63" s="221" t="s">
        <v>57</v>
      </c>
      <c r="O63" s="220"/>
      <c r="P63" s="180">
        <f>N30+N48</f>
        <v>12</v>
      </c>
      <c r="Q63" s="220"/>
      <c r="R63" s="221" t="s">
        <v>57</v>
      </c>
      <c r="S63" s="220"/>
      <c r="T63" s="180">
        <f>R30+R48</f>
        <v>12</v>
      </c>
      <c r="U63" s="220"/>
      <c r="V63" s="221" t="s">
        <v>57</v>
      </c>
      <c r="W63" s="220"/>
      <c r="X63" s="180">
        <f>V30+V48</f>
        <v>13</v>
      </c>
      <c r="Y63" s="220"/>
      <c r="Z63" s="221" t="s">
        <v>57</v>
      </c>
      <c r="AA63" s="220"/>
      <c r="AB63" s="180">
        <f>Z30+Z48</f>
        <v>13</v>
      </c>
      <c r="AC63" s="150"/>
      <c r="AD63" s="223"/>
      <c r="AE63" s="224"/>
      <c r="AF63" s="224"/>
      <c r="AG63" s="224"/>
      <c r="AH63" s="225"/>
      <c r="AI63" s="224"/>
    </row>
    <row r="64" spans="2:35" ht="15" customHeight="1">
      <c r="B64" s="111"/>
      <c r="C64" s="126"/>
      <c r="D64" s="113"/>
      <c r="E64" s="113"/>
      <c r="F64" s="221" t="s">
        <v>90</v>
      </c>
      <c r="G64" s="226"/>
      <c r="H64" s="227">
        <f>H30+H48</f>
        <v>779521</v>
      </c>
      <c r="I64" s="226"/>
      <c r="J64" s="221" t="s">
        <v>90</v>
      </c>
      <c r="K64" s="226"/>
      <c r="L64" s="227">
        <f>L30+L48</f>
        <v>727332.0966666667</v>
      </c>
      <c r="M64" s="226"/>
      <c r="N64" s="221" t="s">
        <v>90</v>
      </c>
      <c r="O64" s="226"/>
      <c r="P64" s="227">
        <f>P30+P48</f>
        <v>749152.0595666666</v>
      </c>
      <c r="Q64" s="226"/>
      <c r="R64" s="221" t="s">
        <v>90</v>
      </c>
      <c r="S64" s="226"/>
      <c r="T64" s="227">
        <f>T30+T48</f>
        <v>771626.6213536668</v>
      </c>
      <c r="U64" s="226"/>
      <c r="V64" s="221" t="s">
        <v>90</v>
      </c>
      <c r="W64" s="226"/>
      <c r="X64" s="227">
        <f>X30+X48</f>
        <v>836066.5865371434</v>
      </c>
      <c r="Y64" s="226"/>
      <c r="Z64" s="221" t="s">
        <v>90</v>
      </c>
      <c r="AA64" s="226"/>
      <c r="AB64" s="227">
        <f>AB30+AB48</f>
        <v>861148.5841332576</v>
      </c>
      <c r="AC64" s="125"/>
      <c r="AD64" s="116"/>
      <c r="AE64" s="105"/>
      <c r="AF64" s="105"/>
      <c r="AG64" s="105"/>
      <c r="AH64" s="106"/>
      <c r="AI64" s="105"/>
    </row>
    <row r="65" spans="2:35" ht="15" customHeight="1">
      <c r="B65" s="111"/>
      <c r="C65" s="126"/>
      <c r="D65" s="113"/>
      <c r="E65" s="113"/>
      <c r="F65" s="221" t="s">
        <v>87</v>
      </c>
      <c r="G65" s="112"/>
      <c r="H65" s="228">
        <f>SUM(H52:H58)</f>
        <v>230428.21149999998</v>
      </c>
      <c r="I65" s="112"/>
      <c r="J65" s="221" t="s">
        <v>87</v>
      </c>
      <c r="K65" s="112"/>
      <c r="L65" s="228">
        <f>SUM(L52:L58)</f>
        <v>207406.52344023812</v>
      </c>
      <c r="M65" s="112"/>
      <c r="N65" s="221" t="s">
        <v>87</v>
      </c>
      <c r="O65" s="112"/>
      <c r="P65" s="228">
        <f>SUM(P52:P58)</f>
        <v>213628.71914344525</v>
      </c>
      <c r="Q65" s="112"/>
      <c r="R65" s="221" t="s">
        <v>87</v>
      </c>
      <c r="S65" s="112"/>
      <c r="T65" s="228">
        <f>SUM(T52:T58)</f>
        <v>220037.58071774864</v>
      </c>
      <c r="U65" s="112"/>
      <c r="V65" s="221" t="s">
        <v>87</v>
      </c>
      <c r="W65" s="112"/>
      <c r="X65" s="228">
        <f>SUM(X52:X58)</f>
        <v>242993.84512753724</v>
      </c>
      <c r="Y65" s="112"/>
      <c r="Z65" s="221" t="s">
        <v>87</v>
      </c>
      <c r="AA65" s="112"/>
      <c r="AB65" s="228">
        <f>SUM(AB52:AB58)</f>
        <v>250283.66048136333</v>
      </c>
      <c r="AC65" s="125"/>
      <c r="AD65" s="116"/>
      <c r="AE65" s="105"/>
      <c r="AF65" s="105"/>
      <c r="AG65" s="105"/>
      <c r="AH65" s="105"/>
      <c r="AI65" s="105"/>
    </row>
    <row r="66" spans="2:35" ht="15" customHeight="1">
      <c r="B66" s="111"/>
      <c r="C66" s="126"/>
      <c r="D66" s="113"/>
      <c r="E66" s="113"/>
      <c r="F66" s="221" t="s">
        <v>91</v>
      </c>
      <c r="G66" s="112"/>
      <c r="H66" s="228">
        <f>H64+H65</f>
        <v>1009949.2115</v>
      </c>
      <c r="I66" s="112"/>
      <c r="J66" s="221" t="s">
        <v>91</v>
      </c>
      <c r="K66" s="112"/>
      <c r="L66" s="228">
        <f>L64+L65</f>
        <v>934738.6201069048</v>
      </c>
      <c r="M66" s="112"/>
      <c r="N66" s="221" t="s">
        <v>91</v>
      </c>
      <c r="O66" s="112"/>
      <c r="P66" s="228">
        <f>P64+P65</f>
        <v>962780.7787101119</v>
      </c>
      <c r="Q66" s="112"/>
      <c r="R66" s="221" t="s">
        <v>91</v>
      </c>
      <c r="S66" s="112"/>
      <c r="T66" s="228">
        <f>T64+T65</f>
        <v>991664.2020714154</v>
      </c>
      <c r="U66" s="112"/>
      <c r="V66" s="221" t="s">
        <v>91</v>
      </c>
      <c r="W66" s="112"/>
      <c r="X66" s="228">
        <f>X64+X65</f>
        <v>1079060.4316646806</v>
      </c>
      <c r="Y66" s="112"/>
      <c r="Z66" s="221" t="s">
        <v>91</v>
      </c>
      <c r="AA66" s="112"/>
      <c r="AB66" s="228">
        <f>AB64+AB65</f>
        <v>1111432.244614621</v>
      </c>
      <c r="AC66" s="125"/>
      <c r="AD66" s="116"/>
      <c r="AE66" s="105"/>
      <c r="AF66" s="105"/>
      <c r="AG66" s="105"/>
      <c r="AH66" s="105"/>
      <c r="AI66" s="105"/>
    </row>
    <row r="67" spans="2:35" ht="15" customHeight="1">
      <c r="B67" s="111"/>
      <c r="C67" s="126"/>
      <c r="D67" s="112"/>
      <c r="E67" s="113"/>
      <c r="F67" s="221" t="s">
        <v>58</v>
      </c>
      <c r="G67" s="169"/>
      <c r="H67" s="180" t="str">
        <f>_xlfn.IFERROR((ROUND(('2. Enrollment Projections'!E30+'2. Enrollment Projections'!E34)/(F30),0)&amp;":1"),"")</f>
        <v>9:1</v>
      </c>
      <c r="I67" s="169"/>
      <c r="J67" s="221" t="s">
        <v>58</v>
      </c>
      <c r="K67" s="169"/>
      <c r="L67" s="180" t="str">
        <f>_xlfn.IFERROR((ROUND(('2. Enrollment Projections'!F30+'2. Enrollment Projections'!F34)/(J30),0)&amp;":1"),"")</f>
        <v>12:1</v>
      </c>
      <c r="M67" s="169"/>
      <c r="N67" s="221" t="s">
        <v>58</v>
      </c>
      <c r="O67" s="169"/>
      <c r="P67" s="180" t="str">
        <f>_xlfn.IFERROR((ROUND(('2. Enrollment Projections'!G30+'2. Enrollment Projections'!G34)/(N30),0)&amp;":1"),"")</f>
        <v>13:1</v>
      </c>
      <c r="Q67" s="169"/>
      <c r="R67" s="221" t="s">
        <v>58</v>
      </c>
      <c r="S67" s="169"/>
      <c r="T67" s="180" t="str">
        <f>_xlfn.IFERROR((ROUND(('2. Enrollment Projections'!H30+'2. Enrollment Projections'!H34)/(R30),0)&amp;":1"),"")</f>
        <v>14:1</v>
      </c>
      <c r="U67" s="169"/>
      <c r="V67" s="221" t="s">
        <v>58</v>
      </c>
      <c r="W67" s="169"/>
      <c r="X67" s="180" t="str">
        <f>_xlfn.IFERROR((ROUND(('2. Enrollment Projections'!I30+'2. Enrollment Projections'!I34)/(V30),0)&amp;":1"),"")</f>
        <v>14:1</v>
      </c>
      <c r="Y67" s="169"/>
      <c r="Z67" s="221" t="s">
        <v>58</v>
      </c>
      <c r="AA67" s="169"/>
      <c r="AB67" s="180" t="str">
        <f>_xlfn.IFERROR((ROUND(('2. Enrollment Projections'!J30+'2. Enrollment Projections'!J34)/(Z30),0)&amp;":1"),"")</f>
        <v>15:1</v>
      </c>
      <c r="AC67" s="125"/>
      <c r="AD67" s="116"/>
      <c r="AE67" s="105"/>
      <c r="AF67" s="105"/>
      <c r="AG67" s="105"/>
      <c r="AH67" s="105"/>
      <c r="AI67" s="105"/>
    </row>
    <row r="68" spans="2:35" ht="15" customHeight="1">
      <c r="B68" s="111"/>
      <c r="C68" s="126"/>
      <c r="D68" s="112"/>
      <c r="E68" s="113"/>
      <c r="F68" s="229" t="s">
        <v>59</v>
      </c>
      <c r="G68" s="230"/>
      <c r="H68" s="231" t="str">
        <f>_xlfn.IFERROR((ROUND(('2. Enrollment Projections'!E30+'2. Enrollment Projections'!E34)/(F48),0)&amp;":1"),"")</f>
        <v>33:1</v>
      </c>
      <c r="I68" s="169"/>
      <c r="J68" s="229" t="s">
        <v>59</v>
      </c>
      <c r="K68" s="230"/>
      <c r="L68" s="231" t="str">
        <f>_xlfn.IFERROR((ROUND(('2. Enrollment Projections'!F30+'2. Enrollment Projections'!F34)/(J48),0)&amp;":1"),"")</f>
        <v>37:1</v>
      </c>
      <c r="M68" s="169"/>
      <c r="N68" s="229" t="s">
        <v>59</v>
      </c>
      <c r="O68" s="230"/>
      <c r="P68" s="231" t="str">
        <f>_xlfn.IFERROR((ROUND(('2. Enrollment Projections'!G30+'2. Enrollment Projections'!G34)/(N48),0)&amp;":1"),"")</f>
        <v>40:1</v>
      </c>
      <c r="Q68" s="169"/>
      <c r="R68" s="229" t="s">
        <v>59</v>
      </c>
      <c r="S68" s="230"/>
      <c r="T68" s="231" t="str">
        <f>_xlfn.IFERROR((ROUND(('2. Enrollment Projections'!H30+'2. Enrollment Projections'!H34)/(R48),0)&amp;":1"),"")</f>
        <v>43:1</v>
      </c>
      <c r="U68" s="169"/>
      <c r="V68" s="229" t="s">
        <v>59</v>
      </c>
      <c r="W68" s="230"/>
      <c r="X68" s="231" t="str">
        <f>_xlfn.IFERROR((ROUND(('2. Enrollment Projections'!I30+'2. Enrollment Projections'!I34)/(V48),0)&amp;":1"),"")</f>
        <v>47:1</v>
      </c>
      <c r="Y68" s="169"/>
      <c r="Z68" s="229" t="s">
        <v>59</v>
      </c>
      <c r="AA68" s="230"/>
      <c r="AB68" s="231" t="str">
        <f>_xlfn.IFERROR((ROUND(('2. Enrollment Projections'!J30+'2. Enrollment Projections'!J34)/(Z48),0)&amp;":1"),"")</f>
        <v>50:1</v>
      </c>
      <c r="AC68" s="125"/>
      <c r="AD68" s="116"/>
      <c r="AE68" s="110"/>
      <c r="AF68" s="110"/>
      <c r="AG68" s="110"/>
      <c r="AH68" s="110"/>
      <c r="AI68" s="110"/>
    </row>
    <row r="69" spans="2:30" s="106" customFormat="1" ht="15" customHeight="1">
      <c r="B69" s="111"/>
      <c r="C69" s="202"/>
      <c r="D69" s="232"/>
      <c r="E69" s="232"/>
      <c r="F69" s="205"/>
      <c r="G69" s="205"/>
      <c r="H69" s="205"/>
      <c r="I69" s="205"/>
      <c r="J69" s="205"/>
      <c r="K69" s="205"/>
      <c r="L69" s="205"/>
      <c r="M69" s="205"/>
      <c r="N69" s="205"/>
      <c r="O69" s="205"/>
      <c r="P69" s="205"/>
      <c r="Q69" s="205"/>
      <c r="R69" s="205"/>
      <c r="S69" s="205"/>
      <c r="T69" s="205"/>
      <c r="U69" s="205"/>
      <c r="V69" s="205"/>
      <c r="W69" s="205"/>
      <c r="X69" s="205"/>
      <c r="Y69" s="205"/>
      <c r="Z69" s="205"/>
      <c r="AA69" s="205"/>
      <c r="AB69" s="205"/>
      <c r="AC69" s="209"/>
      <c r="AD69" s="116"/>
    </row>
    <row r="70" spans="2:30" s="106" customFormat="1" ht="15" customHeight="1">
      <c r="B70" s="111"/>
      <c r="C70" s="112"/>
      <c r="D70" s="233"/>
      <c r="E70" s="233"/>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6"/>
    </row>
    <row r="71" spans="2:30" s="106" customFormat="1" ht="26.25" customHeight="1">
      <c r="B71" s="111"/>
      <c r="C71" s="496" t="s">
        <v>54</v>
      </c>
      <c r="D71" s="497"/>
      <c r="E71" s="497"/>
      <c r="F71" s="497"/>
      <c r="G71" s="497"/>
      <c r="H71" s="497"/>
      <c r="I71" s="497"/>
      <c r="J71" s="497"/>
      <c r="K71" s="497"/>
      <c r="L71" s="497"/>
      <c r="M71" s="497"/>
      <c r="N71" s="497"/>
      <c r="O71" s="497"/>
      <c r="P71" s="497"/>
      <c r="Q71" s="497"/>
      <c r="R71" s="497"/>
      <c r="S71" s="112"/>
      <c r="T71" s="112"/>
      <c r="U71" s="112"/>
      <c r="V71" s="112"/>
      <c r="W71" s="112"/>
      <c r="X71" s="112"/>
      <c r="Y71" s="112"/>
      <c r="Z71" s="112"/>
      <c r="AA71" s="112"/>
      <c r="AB71" s="112"/>
      <c r="AC71" s="112"/>
      <c r="AD71" s="116"/>
    </row>
    <row r="72" spans="2:30" s="106" customFormat="1" ht="27.75" customHeight="1">
      <c r="B72" s="111"/>
      <c r="C72" s="508" t="s">
        <v>529</v>
      </c>
      <c r="D72" s="509"/>
      <c r="E72" s="509"/>
      <c r="F72" s="509"/>
      <c r="G72" s="509"/>
      <c r="H72" s="509"/>
      <c r="I72" s="509"/>
      <c r="J72" s="509"/>
      <c r="K72" s="509"/>
      <c r="L72" s="509"/>
      <c r="M72" s="509"/>
      <c r="N72" s="509"/>
      <c r="O72" s="509"/>
      <c r="P72" s="509"/>
      <c r="Q72" s="509"/>
      <c r="R72" s="509"/>
      <c r="S72" s="509"/>
      <c r="T72" s="509"/>
      <c r="U72" s="509"/>
      <c r="V72" s="509"/>
      <c r="W72" s="509"/>
      <c r="X72" s="112"/>
      <c r="Y72" s="112"/>
      <c r="Z72" s="112"/>
      <c r="AA72" s="112"/>
      <c r="AB72" s="112"/>
      <c r="AC72" s="112"/>
      <c r="AD72" s="116"/>
    </row>
    <row r="73" spans="2:30" s="106" customFormat="1" ht="27.75" customHeight="1">
      <c r="B73" s="111"/>
      <c r="C73" s="509"/>
      <c r="D73" s="509"/>
      <c r="E73" s="509"/>
      <c r="F73" s="509"/>
      <c r="G73" s="509"/>
      <c r="H73" s="509"/>
      <c r="I73" s="509"/>
      <c r="J73" s="509"/>
      <c r="K73" s="509"/>
      <c r="L73" s="509"/>
      <c r="M73" s="509"/>
      <c r="N73" s="509"/>
      <c r="O73" s="509"/>
      <c r="P73" s="509"/>
      <c r="Q73" s="509"/>
      <c r="R73" s="509"/>
      <c r="S73" s="509"/>
      <c r="T73" s="509"/>
      <c r="U73" s="509"/>
      <c r="V73" s="509"/>
      <c r="W73" s="509"/>
      <c r="X73" s="112"/>
      <c r="Y73" s="112"/>
      <c r="Z73" s="112"/>
      <c r="AA73" s="112"/>
      <c r="AB73" s="112"/>
      <c r="AC73" s="112"/>
      <c r="AD73" s="116"/>
    </row>
    <row r="74" spans="2:30" s="106" customFormat="1" ht="27.75" customHeight="1">
      <c r="B74" s="111"/>
      <c r="C74" s="509"/>
      <c r="D74" s="509"/>
      <c r="E74" s="509"/>
      <c r="F74" s="509"/>
      <c r="G74" s="509"/>
      <c r="H74" s="509"/>
      <c r="I74" s="509"/>
      <c r="J74" s="509"/>
      <c r="K74" s="509"/>
      <c r="L74" s="509"/>
      <c r="M74" s="509"/>
      <c r="N74" s="509"/>
      <c r="O74" s="509"/>
      <c r="P74" s="509"/>
      <c r="Q74" s="509"/>
      <c r="R74" s="509"/>
      <c r="S74" s="509"/>
      <c r="T74" s="509"/>
      <c r="U74" s="509"/>
      <c r="V74" s="509"/>
      <c r="W74" s="509"/>
      <c r="X74" s="112"/>
      <c r="Y74" s="112"/>
      <c r="Z74" s="112"/>
      <c r="AA74" s="112"/>
      <c r="AB74" s="112"/>
      <c r="AC74" s="112"/>
      <c r="AD74" s="116"/>
    </row>
    <row r="75" spans="2:30" s="106" customFormat="1" ht="24" customHeight="1">
      <c r="B75" s="111"/>
      <c r="C75" s="509"/>
      <c r="D75" s="509"/>
      <c r="E75" s="509"/>
      <c r="F75" s="509"/>
      <c r="G75" s="509"/>
      <c r="H75" s="509"/>
      <c r="I75" s="509"/>
      <c r="J75" s="509"/>
      <c r="K75" s="509"/>
      <c r="L75" s="509"/>
      <c r="M75" s="509"/>
      <c r="N75" s="509"/>
      <c r="O75" s="509"/>
      <c r="P75" s="509"/>
      <c r="Q75" s="509"/>
      <c r="R75" s="509"/>
      <c r="S75" s="509"/>
      <c r="T75" s="509"/>
      <c r="U75" s="509"/>
      <c r="V75" s="509"/>
      <c r="W75" s="509"/>
      <c r="X75" s="112"/>
      <c r="Y75" s="112"/>
      <c r="Z75" s="112"/>
      <c r="AA75" s="112"/>
      <c r="AB75" s="112"/>
      <c r="AC75" s="112"/>
      <c r="AD75" s="116"/>
    </row>
    <row r="76" spans="2:30" s="106" customFormat="1" ht="28.5" customHeight="1">
      <c r="B76" s="111"/>
      <c r="C76" s="498" t="s">
        <v>487</v>
      </c>
      <c r="D76" s="499"/>
      <c r="E76" s="499"/>
      <c r="F76" s="499"/>
      <c r="G76" s="499"/>
      <c r="H76" s="499"/>
      <c r="I76" s="499"/>
      <c r="J76" s="499"/>
      <c r="K76" s="499"/>
      <c r="L76" s="499"/>
      <c r="M76" s="499"/>
      <c r="N76" s="499"/>
      <c r="O76" s="499"/>
      <c r="P76" s="499"/>
      <c r="Q76" s="499"/>
      <c r="R76" s="499"/>
      <c r="S76" s="499"/>
      <c r="T76" s="499"/>
      <c r="U76" s="499"/>
      <c r="V76" s="499"/>
      <c r="W76" s="499"/>
      <c r="X76" s="112"/>
      <c r="Y76" s="112"/>
      <c r="Z76" s="112"/>
      <c r="AA76" s="112"/>
      <c r="AB76" s="112"/>
      <c r="AC76" s="112"/>
      <c r="AD76" s="116"/>
    </row>
    <row r="77" spans="2:30" s="106" customFormat="1" ht="19.5" customHeight="1">
      <c r="B77" s="111"/>
      <c r="C77" s="498" t="s">
        <v>485</v>
      </c>
      <c r="D77" s="499"/>
      <c r="E77" s="499"/>
      <c r="F77" s="499"/>
      <c r="G77" s="499"/>
      <c r="H77" s="499"/>
      <c r="I77" s="499"/>
      <c r="J77" s="499"/>
      <c r="K77" s="499"/>
      <c r="L77" s="499"/>
      <c r="M77" s="499"/>
      <c r="N77" s="499"/>
      <c r="O77" s="499"/>
      <c r="P77" s="499"/>
      <c r="Q77" s="499"/>
      <c r="R77" s="499"/>
      <c r="S77" s="499"/>
      <c r="T77" s="499"/>
      <c r="U77" s="499"/>
      <c r="V77" s="499"/>
      <c r="W77" s="499"/>
      <c r="X77" s="112"/>
      <c r="Y77" s="112"/>
      <c r="Z77" s="112"/>
      <c r="AA77" s="112"/>
      <c r="AB77" s="112"/>
      <c r="AC77" s="112"/>
      <c r="AD77" s="116"/>
    </row>
    <row r="78" spans="2:30" s="106" customFormat="1" ht="19.5" customHeight="1">
      <c r="B78" s="111"/>
      <c r="C78" s="498" t="s">
        <v>486</v>
      </c>
      <c r="D78" s="499"/>
      <c r="E78" s="499"/>
      <c r="F78" s="499"/>
      <c r="G78" s="499"/>
      <c r="H78" s="499"/>
      <c r="I78" s="499"/>
      <c r="J78" s="499"/>
      <c r="K78" s="499"/>
      <c r="L78" s="499"/>
      <c r="M78" s="499"/>
      <c r="N78" s="499"/>
      <c r="O78" s="499"/>
      <c r="P78" s="499"/>
      <c r="Q78" s="499"/>
      <c r="R78" s="499"/>
      <c r="S78" s="499"/>
      <c r="T78" s="499"/>
      <c r="U78" s="499"/>
      <c r="V78" s="499"/>
      <c r="W78" s="499"/>
      <c r="X78" s="112"/>
      <c r="Y78" s="112"/>
      <c r="Z78" s="112"/>
      <c r="AA78" s="112"/>
      <c r="AB78" s="112"/>
      <c r="AC78" s="112"/>
      <c r="AD78" s="116"/>
    </row>
    <row r="79" spans="2:30" s="106" customFormat="1" ht="19.5" customHeight="1">
      <c r="B79" s="111"/>
      <c r="C79" s="498" t="s">
        <v>508</v>
      </c>
      <c r="D79" s="499"/>
      <c r="E79" s="499"/>
      <c r="F79" s="499"/>
      <c r="G79" s="499"/>
      <c r="H79" s="499"/>
      <c r="I79" s="499"/>
      <c r="J79" s="499"/>
      <c r="K79" s="499"/>
      <c r="L79" s="499"/>
      <c r="M79" s="499"/>
      <c r="N79" s="499"/>
      <c r="O79" s="499"/>
      <c r="P79" s="499"/>
      <c r="Q79" s="499"/>
      <c r="R79" s="499"/>
      <c r="S79" s="499"/>
      <c r="T79" s="499"/>
      <c r="U79" s="499"/>
      <c r="V79" s="499"/>
      <c r="W79" s="499"/>
      <c r="X79" s="112"/>
      <c r="Y79" s="112"/>
      <c r="Z79" s="112"/>
      <c r="AA79" s="112"/>
      <c r="AB79" s="112"/>
      <c r="AC79" s="112"/>
      <c r="AD79" s="116"/>
    </row>
    <row r="80" spans="2:30" ht="9" customHeight="1" thickBot="1">
      <c r="B80" s="234"/>
      <c r="C80" s="235"/>
      <c r="D80" s="235"/>
      <c r="E80" s="235"/>
      <c r="F80" s="235"/>
      <c r="G80" s="235"/>
      <c r="H80" s="235"/>
      <c r="I80" s="235"/>
      <c r="J80" s="235"/>
      <c r="K80" s="235"/>
      <c r="L80" s="235"/>
      <c r="M80" s="235"/>
      <c r="N80" s="235"/>
      <c r="O80" s="235"/>
      <c r="P80" s="235"/>
      <c r="Q80" s="235"/>
      <c r="R80" s="235"/>
      <c r="S80" s="235"/>
      <c r="T80" s="235"/>
      <c r="U80" s="235"/>
      <c r="V80" s="235"/>
      <c r="W80" s="235"/>
      <c r="X80" s="235"/>
      <c r="Y80" s="235"/>
      <c r="Z80" s="235"/>
      <c r="AA80" s="235"/>
      <c r="AB80" s="235"/>
      <c r="AC80" s="235"/>
      <c r="AD80" s="236"/>
    </row>
    <row r="81" spans="2:20" ht="15">
      <c r="B81" s="105"/>
      <c r="C81" s="105"/>
      <c r="D81" s="105"/>
      <c r="F81" s="105"/>
      <c r="G81" s="105"/>
      <c r="H81" s="105"/>
      <c r="J81" s="105"/>
      <c r="K81" s="105"/>
      <c r="L81" s="105"/>
      <c r="N81" s="105"/>
      <c r="O81" s="105"/>
      <c r="P81" s="105"/>
      <c r="R81" s="105"/>
      <c r="S81" s="105"/>
      <c r="T81" s="105"/>
    </row>
    <row r="82" spans="2:20" ht="15">
      <c r="B82" s="105"/>
      <c r="C82" s="105"/>
      <c r="D82" s="105"/>
      <c r="F82" s="29"/>
      <c r="G82" s="105"/>
      <c r="H82" s="105"/>
      <c r="J82" s="105"/>
      <c r="K82" s="105"/>
      <c r="L82" s="105"/>
      <c r="N82" s="105"/>
      <c r="O82" s="105"/>
      <c r="P82" s="105"/>
      <c r="R82" s="105"/>
      <c r="S82" s="105"/>
      <c r="T82" s="105"/>
    </row>
    <row r="83" spans="2:20" ht="15">
      <c r="B83" s="105"/>
      <c r="C83" s="105"/>
      <c r="D83" s="105"/>
      <c r="F83" s="29"/>
      <c r="G83" s="237"/>
      <c r="H83" s="105"/>
      <c r="J83" s="105"/>
      <c r="K83" s="105"/>
      <c r="L83" s="105"/>
      <c r="N83" s="105"/>
      <c r="O83" s="105"/>
      <c r="P83" s="105"/>
      <c r="R83" s="105"/>
      <c r="S83" s="105"/>
      <c r="T83" s="105"/>
    </row>
    <row r="84" spans="2:20" ht="15">
      <c r="B84" s="105"/>
      <c r="C84" s="105"/>
      <c r="D84" s="105"/>
      <c r="F84" s="105"/>
      <c r="G84" s="105"/>
      <c r="H84" s="105"/>
      <c r="J84" s="105"/>
      <c r="K84" s="105"/>
      <c r="L84" s="105"/>
      <c r="N84" s="105"/>
      <c r="O84" s="105"/>
      <c r="P84" s="105"/>
      <c r="R84" s="105"/>
      <c r="S84" s="105"/>
      <c r="T84" s="105"/>
    </row>
    <row r="85" spans="2:20" ht="15">
      <c r="B85" s="105"/>
      <c r="C85" s="105"/>
      <c r="D85" s="105"/>
      <c r="F85" s="105"/>
      <c r="G85" s="105"/>
      <c r="H85" s="105"/>
      <c r="J85" s="105"/>
      <c r="K85" s="105"/>
      <c r="L85" s="105"/>
      <c r="N85" s="105"/>
      <c r="O85" s="105"/>
      <c r="P85" s="105"/>
      <c r="R85" s="105"/>
      <c r="S85" s="105"/>
      <c r="T85" s="105"/>
    </row>
    <row r="86" spans="2:20" ht="15">
      <c r="B86" s="105"/>
      <c r="C86" s="105"/>
      <c r="D86" s="105"/>
      <c r="F86" s="105"/>
      <c r="G86" s="105"/>
      <c r="H86" s="105"/>
      <c r="J86" s="105"/>
      <c r="K86" s="105"/>
      <c r="L86" s="105"/>
      <c r="N86" s="105"/>
      <c r="O86" s="105"/>
      <c r="P86" s="105"/>
      <c r="R86" s="105"/>
      <c r="S86" s="105"/>
      <c r="T86" s="105"/>
    </row>
    <row r="87" spans="2:20" ht="15">
      <c r="B87" s="105"/>
      <c r="C87" s="105"/>
      <c r="D87" s="105"/>
      <c r="F87" s="105"/>
      <c r="G87" s="105"/>
      <c r="H87" s="105"/>
      <c r="J87" s="105"/>
      <c r="K87" s="105"/>
      <c r="L87" s="105"/>
      <c r="N87" s="105"/>
      <c r="O87" s="105"/>
      <c r="P87" s="105"/>
      <c r="R87" s="105"/>
      <c r="S87" s="105"/>
      <c r="T87" s="105"/>
    </row>
    <row r="88" spans="2:20" ht="15">
      <c r="B88" s="105"/>
      <c r="C88" s="105"/>
      <c r="D88" s="105"/>
      <c r="F88" s="105"/>
      <c r="G88" s="105"/>
      <c r="H88" s="105"/>
      <c r="J88" s="105"/>
      <c r="K88" s="105"/>
      <c r="L88" s="105"/>
      <c r="N88" s="105"/>
      <c r="O88" s="105"/>
      <c r="P88" s="105"/>
      <c r="R88" s="105"/>
      <c r="S88" s="105"/>
      <c r="T88" s="105"/>
    </row>
    <row r="89" spans="2:20" ht="15">
      <c r="B89" s="105"/>
      <c r="C89" s="105"/>
      <c r="D89" s="105"/>
      <c r="F89" s="105"/>
      <c r="G89" s="105"/>
      <c r="H89" s="105"/>
      <c r="J89" s="105"/>
      <c r="K89" s="105"/>
      <c r="L89" s="105"/>
      <c r="N89" s="105"/>
      <c r="O89" s="105"/>
      <c r="P89" s="105"/>
      <c r="R89" s="105"/>
      <c r="S89" s="105"/>
      <c r="T89" s="105"/>
    </row>
    <row r="90" spans="2:20" ht="15">
      <c r="B90" s="105"/>
      <c r="C90" s="105"/>
      <c r="D90" s="105"/>
      <c r="F90" s="105"/>
      <c r="G90" s="105"/>
      <c r="H90" s="105"/>
      <c r="J90" s="105"/>
      <c r="K90" s="105"/>
      <c r="L90" s="105"/>
      <c r="N90" s="105"/>
      <c r="O90" s="105"/>
      <c r="P90" s="105"/>
      <c r="R90" s="105"/>
      <c r="S90" s="105"/>
      <c r="T90" s="105"/>
    </row>
    <row r="91" spans="2:20" ht="15">
      <c r="B91" s="105"/>
      <c r="C91" s="105"/>
      <c r="D91" s="105"/>
      <c r="F91" s="105"/>
      <c r="G91" s="105"/>
      <c r="H91" s="105"/>
      <c r="J91" s="105"/>
      <c r="K91" s="105"/>
      <c r="L91" s="105"/>
      <c r="N91" s="105"/>
      <c r="O91" s="105"/>
      <c r="P91" s="105"/>
      <c r="R91" s="105"/>
      <c r="S91" s="105"/>
      <c r="T91" s="105"/>
    </row>
    <row r="92" spans="2:20" ht="15">
      <c r="B92" s="105"/>
      <c r="C92" s="105"/>
      <c r="D92" s="105"/>
      <c r="F92" s="105"/>
      <c r="G92" s="105"/>
      <c r="H92" s="105"/>
      <c r="J92" s="105"/>
      <c r="K92" s="105"/>
      <c r="L92" s="105"/>
      <c r="N92" s="105"/>
      <c r="O92" s="105"/>
      <c r="P92" s="105"/>
      <c r="R92" s="105"/>
      <c r="S92" s="105"/>
      <c r="T92" s="105"/>
    </row>
    <row r="93" spans="2:20" ht="15">
      <c r="B93" s="105"/>
      <c r="C93" s="105"/>
      <c r="D93" s="105"/>
      <c r="F93" s="105"/>
      <c r="G93" s="105"/>
      <c r="H93" s="105"/>
      <c r="J93" s="105"/>
      <c r="K93" s="105"/>
      <c r="L93" s="105"/>
      <c r="N93" s="105"/>
      <c r="O93" s="105"/>
      <c r="P93" s="105"/>
      <c r="R93" s="105"/>
      <c r="S93" s="105"/>
      <c r="T93" s="105"/>
    </row>
    <row r="94" spans="2:20" ht="15">
      <c r="B94" s="105"/>
      <c r="C94" s="105"/>
      <c r="D94" s="105"/>
      <c r="F94" s="105"/>
      <c r="G94" s="105"/>
      <c r="H94" s="105"/>
      <c r="J94" s="105"/>
      <c r="K94" s="105"/>
      <c r="L94" s="105"/>
      <c r="N94" s="105"/>
      <c r="O94" s="105"/>
      <c r="P94" s="105"/>
      <c r="R94" s="105"/>
      <c r="S94" s="105"/>
      <c r="T94" s="105"/>
    </row>
    <row r="95" spans="2:20" ht="15">
      <c r="B95" s="105"/>
      <c r="C95" s="105"/>
      <c r="D95" s="105"/>
      <c r="F95" s="105"/>
      <c r="G95" s="105"/>
      <c r="H95" s="105"/>
      <c r="J95" s="105"/>
      <c r="K95" s="105"/>
      <c r="L95" s="105"/>
      <c r="N95" s="105"/>
      <c r="O95" s="105"/>
      <c r="P95" s="105"/>
      <c r="R95" s="105"/>
      <c r="S95" s="105"/>
      <c r="T95" s="105"/>
    </row>
    <row r="96" spans="2:20" ht="15">
      <c r="B96" s="105"/>
      <c r="C96" s="105"/>
      <c r="D96" s="105"/>
      <c r="F96" s="105"/>
      <c r="G96" s="105"/>
      <c r="H96" s="105"/>
      <c r="J96" s="105"/>
      <c r="K96" s="105"/>
      <c r="L96" s="105"/>
      <c r="N96" s="105"/>
      <c r="O96" s="105"/>
      <c r="P96" s="105"/>
      <c r="R96" s="105"/>
      <c r="S96" s="105"/>
      <c r="T96" s="105"/>
    </row>
    <row r="97" spans="2:20" ht="15">
      <c r="B97" s="105"/>
      <c r="C97" s="105"/>
      <c r="D97" s="105"/>
      <c r="F97" s="105"/>
      <c r="G97" s="105"/>
      <c r="H97" s="105"/>
      <c r="J97" s="105"/>
      <c r="K97" s="105"/>
      <c r="L97" s="105"/>
      <c r="N97" s="105"/>
      <c r="O97" s="105"/>
      <c r="P97" s="105"/>
      <c r="R97" s="105"/>
      <c r="S97" s="105"/>
      <c r="T97" s="105"/>
    </row>
    <row r="98" spans="2:20" ht="15">
      <c r="B98" s="105"/>
      <c r="C98" s="105"/>
      <c r="D98" s="105"/>
      <c r="F98" s="105"/>
      <c r="G98" s="105"/>
      <c r="H98" s="105"/>
      <c r="J98" s="105"/>
      <c r="K98" s="105"/>
      <c r="L98" s="105"/>
      <c r="N98" s="105"/>
      <c r="O98" s="105"/>
      <c r="P98" s="105"/>
      <c r="R98" s="105"/>
      <c r="S98" s="105"/>
      <c r="T98" s="105"/>
    </row>
    <row r="99" spans="2:20" ht="15">
      <c r="B99" s="105"/>
      <c r="C99" s="105"/>
      <c r="D99" s="105"/>
      <c r="F99" s="105"/>
      <c r="G99" s="105"/>
      <c r="H99" s="105"/>
      <c r="J99" s="105"/>
      <c r="K99" s="105"/>
      <c r="L99" s="105"/>
      <c r="N99" s="105"/>
      <c r="O99" s="105"/>
      <c r="P99" s="105"/>
      <c r="R99" s="105"/>
      <c r="S99" s="105"/>
      <c r="T99" s="105"/>
    </row>
    <row r="100" spans="2:20" ht="15">
      <c r="B100" s="105"/>
      <c r="C100" s="105"/>
      <c r="D100" s="105"/>
      <c r="F100" s="105"/>
      <c r="G100" s="105"/>
      <c r="H100" s="105"/>
      <c r="J100" s="105"/>
      <c r="K100" s="105"/>
      <c r="L100" s="105"/>
      <c r="N100" s="105"/>
      <c r="O100" s="105"/>
      <c r="P100" s="105"/>
      <c r="R100" s="105"/>
      <c r="S100" s="105"/>
      <c r="T100" s="105"/>
    </row>
    <row r="101" spans="2:20" ht="15">
      <c r="B101" s="105"/>
      <c r="C101" s="105"/>
      <c r="D101" s="105"/>
      <c r="F101" s="105"/>
      <c r="G101" s="105"/>
      <c r="H101" s="105"/>
      <c r="J101" s="105"/>
      <c r="K101" s="105"/>
      <c r="L101" s="105"/>
      <c r="N101" s="105"/>
      <c r="O101" s="105"/>
      <c r="P101" s="105"/>
      <c r="R101" s="105"/>
      <c r="S101" s="105"/>
      <c r="T101" s="105"/>
    </row>
    <row r="102" spans="2:20" ht="15">
      <c r="B102" s="105"/>
      <c r="C102" s="105"/>
      <c r="D102" s="105"/>
      <c r="F102" s="105"/>
      <c r="G102" s="105"/>
      <c r="H102" s="105"/>
      <c r="J102" s="105"/>
      <c r="K102" s="105"/>
      <c r="L102" s="105"/>
      <c r="N102" s="105"/>
      <c r="O102" s="105"/>
      <c r="P102" s="105"/>
      <c r="R102" s="105"/>
      <c r="S102" s="105"/>
      <c r="T102" s="105"/>
    </row>
    <row r="103" spans="2:20" ht="15">
      <c r="B103" s="105"/>
      <c r="C103" s="105"/>
      <c r="D103" s="105"/>
      <c r="F103" s="105"/>
      <c r="G103" s="105"/>
      <c r="H103" s="105"/>
      <c r="J103" s="105"/>
      <c r="K103" s="105"/>
      <c r="L103" s="105"/>
      <c r="N103" s="105"/>
      <c r="O103" s="105"/>
      <c r="P103" s="105"/>
      <c r="R103" s="105"/>
      <c r="S103" s="105"/>
      <c r="T103" s="105"/>
    </row>
    <row r="104" spans="2:20" ht="15">
      <c r="B104" s="105"/>
      <c r="C104" s="105"/>
      <c r="D104" s="105"/>
      <c r="F104" s="105"/>
      <c r="G104" s="105"/>
      <c r="H104" s="105"/>
      <c r="J104" s="105"/>
      <c r="K104" s="105"/>
      <c r="L104" s="105"/>
      <c r="N104" s="105"/>
      <c r="O104" s="105"/>
      <c r="P104" s="105"/>
      <c r="R104" s="105"/>
      <c r="S104" s="105"/>
      <c r="T104" s="105"/>
    </row>
    <row r="105" spans="2:20" ht="15">
      <c r="B105" s="105"/>
      <c r="C105" s="105"/>
      <c r="D105" s="105"/>
      <c r="F105" s="105"/>
      <c r="G105" s="105"/>
      <c r="H105" s="105"/>
      <c r="J105" s="105"/>
      <c r="K105" s="105"/>
      <c r="L105" s="105"/>
      <c r="N105" s="105"/>
      <c r="O105" s="105"/>
      <c r="P105" s="105"/>
      <c r="R105" s="105"/>
      <c r="S105" s="105"/>
      <c r="T105" s="105"/>
    </row>
    <row r="106" spans="2:20" ht="15">
      <c r="B106" s="105"/>
      <c r="C106" s="105"/>
      <c r="D106" s="105"/>
      <c r="F106" s="105"/>
      <c r="G106" s="105"/>
      <c r="H106" s="105"/>
      <c r="J106" s="105"/>
      <c r="K106" s="105"/>
      <c r="L106" s="105"/>
      <c r="N106" s="105"/>
      <c r="O106" s="105"/>
      <c r="P106" s="105"/>
      <c r="R106" s="105"/>
      <c r="S106" s="105"/>
      <c r="T106" s="105"/>
    </row>
    <row r="107" spans="2:20" ht="15">
      <c r="B107" s="105"/>
      <c r="C107" s="105"/>
      <c r="D107" s="105"/>
      <c r="F107" s="105"/>
      <c r="G107" s="105"/>
      <c r="H107" s="105"/>
      <c r="J107" s="105"/>
      <c r="K107" s="105"/>
      <c r="L107" s="105"/>
      <c r="N107" s="105"/>
      <c r="O107" s="105"/>
      <c r="P107" s="105"/>
      <c r="R107" s="105"/>
      <c r="S107" s="105"/>
      <c r="T107" s="105"/>
    </row>
    <row r="108" spans="2:20" ht="15">
      <c r="B108" s="105"/>
      <c r="C108" s="105"/>
      <c r="D108" s="105"/>
      <c r="F108" s="105"/>
      <c r="G108" s="105"/>
      <c r="H108" s="105"/>
      <c r="J108" s="105"/>
      <c r="K108" s="105"/>
      <c r="L108" s="105"/>
      <c r="N108" s="105"/>
      <c r="O108" s="105"/>
      <c r="P108" s="105"/>
      <c r="R108" s="105"/>
      <c r="S108" s="105"/>
      <c r="T108" s="105"/>
    </row>
    <row r="109" spans="2:20" ht="15">
      <c r="B109" s="105"/>
      <c r="C109" s="105"/>
      <c r="D109" s="105"/>
      <c r="F109" s="105"/>
      <c r="G109" s="105"/>
      <c r="H109" s="105"/>
      <c r="J109" s="105"/>
      <c r="K109" s="105"/>
      <c r="L109" s="105"/>
      <c r="N109" s="105"/>
      <c r="O109" s="105"/>
      <c r="P109" s="105"/>
      <c r="R109" s="105"/>
      <c r="S109" s="105"/>
      <c r="T109" s="105"/>
    </row>
    <row r="110" spans="2:20" ht="15">
      <c r="B110" s="105"/>
      <c r="C110" s="105"/>
      <c r="D110" s="105"/>
      <c r="F110" s="105"/>
      <c r="G110" s="105"/>
      <c r="H110" s="105"/>
      <c r="J110" s="105"/>
      <c r="K110" s="105"/>
      <c r="L110" s="105"/>
      <c r="N110" s="105"/>
      <c r="O110" s="105"/>
      <c r="P110" s="105"/>
      <c r="R110" s="105"/>
      <c r="S110" s="105"/>
      <c r="T110" s="105"/>
    </row>
    <row r="111" spans="2:20" ht="15">
      <c r="B111" s="105"/>
      <c r="C111" s="105"/>
      <c r="D111" s="105"/>
      <c r="F111" s="105"/>
      <c r="G111" s="105"/>
      <c r="H111" s="105"/>
      <c r="J111" s="105"/>
      <c r="K111" s="105"/>
      <c r="L111" s="105"/>
      <c r="N111" s="105"/>
      <c r="O111" s="105"/>
      <c r="P111" s="105"/>
      <c r="R111" s="105"/>
      <c r="S111" s="105"/>
      <c r="T111" s="105"/>
    </row>
    <row r="112" spans="2:20" ht="15">
      <c r="B112" s="105"/>
      <c r="C112" s="105"/>
      <c r="D112" s="105"/>
      <c r="F112" s="105"/>
      <c r="G112" s="105"/>
      <c r="H112" s="105"/>
      <c r="J112" s="105"/>
      <c r="K112" s="105"/>
      <c r="L112" s="105"/>
      <c r="N112" s="105"/>
      <c r="O112" s="105"/>
      <c r="P112" s="105"/>
      <c r="R112" s="105"/>
      <c r="S112" s="105"/>
      <c r="T112" s="105"/>
    </row>
    <row r="113" spans="2:20" ht="15">
      <c r="B113" s="105"/>
      <c r="C113" s="105"/>
      <c r="D113" s="105"/>
      <c r="F113" s="105"/>
      <c r="G113" s="105"/>
      <c r="H113" s="105"/>
      <c r="J113" s="105"/>
      <c r="K113" s="105"/>
      <c r="L113" s="105"/>
      <c r="N113" s="105"/>
      <c r="O113" s="105"/>
      <c r="P113" s="105"/>
      <c r="R113" s="105"/>
      <c r="S113" s="105"/>
      <c r="T113" s="105"/>
    </row>
    <row r="114" spans="2:20" ht="15">
      <c r="B114" s="105"/>
      <c r="C114" s="105"/>
      <c r="D114" s="105"/>
      <c r="F114" s="105"/>
      <c r="G114" s="105"/>
      <c r="H114" s="105"/>
      <c r="J114" s="105"/>
      <c r="K114" s="105"/>
      <c r="L114" s="105"/>
      <c r="N114" s="105"/>
      <c r="O114" s="105"/>
      <c r="P114" s="105"/>
      <c r="R114" s="105"/>
      <c r="S114" s="105"/>
      <c r="T114" s="105"/>
    </row>
    <row r="115" spans="2:20" ht="15">
      <c r="B115" s="105"/>
      <c r="C115" s="105"/>
      <c r="D115" s="105"/>
      <c r="F115" s="105"/>
      <c r="G115" s="105"/>
      <c r="H115" s="105"/>
      <c r="J115" s="105"/>
      <c r="K115" s="105"/>
      <c r="L115" s="105"/>
      <c r="N115" s="105"/>
      <c r="O115" s="105"/>
      <c r="P115" s="105"/>
      <c r="R115" s="105"/>
      <c r="S115" s="105"/>
      <c r="T115" s="105"/>
    </row>
    <row r="116" spans="2:20" ht="15">
      <c r="B116" s="105"/>
      <c r="C116" s="105"/>
      <c r="D116" s="105"/>
      <c r="F116" s="105"/>
      <c r="G116" s="105"/>
      <c r="H116" s="105"/>
      <c r="J116" s="105"/>
      <c r="K116" s="105"/>
      <c r="L116" s="105"/>
      <c r="N116" s="105"/>
      <c r="O116" s="105"/>
      <c r="P116" s="105"/>
      <c r="R116" s="105"/>
      <c r="S116" s="105"/>
      <c r="T116" s="105"/>
    </row>
    <row r="117" spans="2:20" ht="15">
      <c r="B117" s="105"/>
      <c r="C117" s="105"/>
      <c r="D117" s="105"/>
      <c r="F117" s="105"/>
      <c r="G117" s="105"/>
      <c r="H117" s="105"/>
      <c r="J117" s="105"/>
      <c r="K117" s="105"/>
      <c r="L117" s="105"/>
      <c r="N117" s="105"/>
      <c r="O117" s="105"/>
      <c r="P117" s="105"/>
      <c r="R117" s="105"/>
      <c r="S117" s="105"/>
      <c r="T117" s="105"/>
    </row>
    <row r="118" spans="2:20" ht="15">
      <c r="B118" s="105"/>
      <c r="C118" s="105"/>
      <c r="D118" s="105"/>
      <c r="F118" s="105"/>
      <c r="G118" s="105"/>
      <c r="H118" s="105"/>
      <c r="J118" s="105"/>
      <c r="K118" s="105"/>
      <c r="L118" s="105"/>
      <c r="N118" s="105"/>
      <c r="O118" s="105"/>
      <c r="P118" s="105"/>
      <c r="R118" s="105"/>
      <c r="S118" s="105"/>
      <c r="T118" s="105"/>
    </row>
    <row r="119" spans="2:20" ht="15">
      <c r="B119" s="105"/>
      <c r="C119" s="105"/>
      <c r="D119" s="105"/>
      <c r="F119" s="105"/>
      <c r="G119" s="105"/>
      <c r="H119" s="105"/>
      <c r="J119" s="105"/>
      <c r="K119" s="105"/>
      <c r="L119" s="105"/>
      <c r="N119" s="105"/>
      <c r="O119" s="105"/>
      <c r="P119" s="105"/>
      <c r="R119" s="105"/>
      <c r="S119" s="105"/>
      <c r="T119" s="105"/>
    </row>
    <row r="120" spans="2:20" ht="15">
      <c r="B120" s="105"/>
      <c r="C120" s="105"/>
      <c r="D120" s="105"/>
      <c r="F120" s="105"/>
      <c r="G120" s="105"/>
      <c r="H120" s="105"/>
      <c r="J120" s="105"/>
      <c r="K120" s="105"/>
      <c r="L120" s="105"/>
      <c r="N120" s="105"/>
      <c r="O120" s="105"/>
      <c r="P120" s="105"/>
      <c r="R120" s="105"/>
      <c r="S120" s="105"/>
      <c r="T120" s="105"/>
    </row>
    <row r="121" spans="2:20" ht="15">
      <c r="B121" s="105"/>
      <c r="C121" s="105"/>
      <c r="D121" s="105"/>
      <c r="F121" s="105"/>
      <c r="G121" s="105"/>
      <c r="H121" s="105"/>
      <c r="J121" s="105"/>
      <c r="K121" s="105"/>
      <c r="L121" s="105"/>
      <c r="N121" s="105"/>
      <c r="O121" s="105"/>
      <c r="P121" s="105"/>
      <c r="R121" s="105"/>
      <c r="S121" s="105"/>
      <c r="T121" s="105"/>
    </row>
    <row r="122" spans="2:20" ht="15">
      <c r="B122" s="105"/>
      <c r="C122" s="105"/>
      <c r="D122" s="105"/>
      <c r="F122" s="105"/>
      <c r="G122" s="105"/>
      <c r="H122" s="105"/>
      <c r="J122" s="105"/>
      <c r="K122" s="105"/>
      <c r="L122" s="105"/>
      <c r="N122" s="105"/>
      <c r="O122" s="105"/>
      <c r="P122" s="105"/>
      <c r="R122" s="105"/>
      <c r="S122" s="105"/>
      <c r="T122" s="105"/>
    </row>
    <row r="123" spans="2:20" ht="15">
      <c r="B123" s="105"/>
      <c r="C123" s="105"/>
      <c r="D123" s="105"/>
      <c r="F123" s="105"/>
      <c r="G123" s="105"/>
      <c r="H123" s="105"/>
      <c r="J123" s="105"/>
      <c r="K123" s="105"/>
      <c r="L123" s="105"/>
      <c r="N123" s="105"/>
      <c r="O123" s="105"/>
      <c r="P123" s="105"/>
      <c r="R123" s="105"/>
      <c r="S123" s="105"/>
      <c r="T123" s="105"/>
    </row>
    <row r="124" spans="2:20" ht="15">
      <c r="B124" s="105"/>
      <c r="C124" s="105"/>
      <c r="D124" s="105"/>
      <c r="F124" s="105"/>
      <c r="G124" s="105"/>
      <c r="H124" s="105"/>
      <c r="J124" s="105"/>
      <c r="K124" s="105"/>
      <c r="L124" s="105"/>
      <c r="N124" s="105"/>
      <c r="O124" s="105"/>
      <c r="P124" s="105"/>
      <c r="R124" s="105"/>
      <c r="S124" s="105"/>
      <c r="T124" s="105"/>
    </row>
    <row r="125" spans="2:20" ht="15">
      <c r="B125" s="105"/>
      <c r="C125" s="105"/>
      <c r="D125" s="105"/>
      <c r="F125" s="105"/>
      <c r="G125" s="105"/>
      <c r="H125" s="105"/>
      <c r="J125" s="105"/>
      <c r="K125" s="105"/>
      <c r="L125" s="105"/>
      <c r="N125" s="105"/>
      <c r="O125" s="105"/>
      <c r="P125" s="105"/>
      <c r="R125" s="105"/>
      <c r="S125" s="105"/>
      <c r="T125" s="105"/>
    </row>
    <row r="126" spans="2:20" ht="15">
      <c r="B126" s="105"/>
      <c r="C126" s="105"/>
      <c r="D126" s="105"/>
      <c r="F126" s="105"/>
      <c r="G126" s="105"/>
      <c r="H126" s="105"/>
      <c r="J126" s="105"/>
      <c r="K126" s="105"/>
      <c r="L126" s="105"/>
      <c r="N126" s="105"/>
      <c r="O126" s="105"/>
      <c r="P126" s="105"/>
      <c r="R126" s="105"/>
      <c r="S126" s="105"/>
      <c r="T126" s="105"/>
    </row>
    <row r="127" spans="2:20" ht="15">
      <c r="B127" s="105"/>
      <c r="C127" s="105"/>
      <c r="D127" s="105"/>
      <c r="F127" s="105"/>
      <c r="G127" s="105"/>
      <c r="H127" s="105"/>
      <c r="J127" s="105"/>
      <c r="K127" s="105"/>
      <c r="L127" s="105"/>
      <c r="N127" s="105"/>
      <c r="O127" s="105"/>
      <c r="P127" s="105"/>
      <c r="R127" s="105"/>
      <c r="S127" s="105"/>
      <c r="T127" s="105"/>
    </row>
    <row r="128" spans="2:20" ht="15">
      <c r="B128" s="105"/>
      <c r="C128" s="105"/>
      <c r="D128" s="105"/>
      <c r="F128" s="105"/>
      <c r="G128" s="105"/>
      <c r="H128" s="105"/>
      <c r="J128" s="105"/>
      <c r="K128" s="105"/>
      <c r="L128" s="105"/>
      <c r="N128" s="105"/>
      <c r="O128" s="105"/>
      <c r="P128" s="105"/>
      <c r="R128" s="105"/>
      <c r="S128" s="105"/>
      <c r="T128" s="105"/>
    </row>
    <row r="129" spans="2:20" ht="15">
      <c r="B129" s="105"/>
      <c r="C129" s="105"/>
      <c r="D129" s="105"/>
      <c r="F129" s="105"/>
      <c r="G129" s="105"/>
      <c r="H129" s="105"/>
      <c r="J129" s="105"/>
      <c r="K129" s="105"/>
      <c r="L129" s="105"/>
      <c r="N129" s="105"/>
      <c r="O129" s="105"/>
      <c r="P129" s="105"/>
      <c r="R129" s="105"/>
      <c r="S129" s="105"/>
      <c r="T129" s="105"/>
    </row>
    <row r="130" spans="2:20" ht="15">
      <c r="B130" s="105"/>
      <c r="C130" s="105"/>
      <c r="D130" s="105"/>
      <c r="F130" s="105"/>
      <c r="G130" s="105"/>
      <c r="H130" s="105"/>
      <c r="J130" s="105"/>
      <c r="K130" s="105"/>
      <c r="L130" s="105"/>
      <c r="N130" s="105"/>
      <c r="O130" s="105"/>
      <c r="P130" s="105"/>
      <c r="R130" s="105"/>
      <c r="S130" s="105"/>
      <c r="T130" s="105"/>
    </row>
    <row r="131" spans="2:20" ht="15">
      <c r="B131" s="105"/>
      <c r="C131" s="105"/>
      <c r="D131" s="105"/>
      <c r="F131" s="105"/>
      <c r="G131" s="105"/>
      <c r="H131" s="105"/>
      <c r="J131" s="105"/>
      <c r="K131" s="105"/>
      <c r="L131" s="105"/>
      <c r="N131" s="105"/>
      <c r="O131" s="105"/>
      <c r="P131" s="105"/>
      <c r="R131" s="105"/>
      <c r="S131" s="105"/>
      <c r="T131" s="105"/>
    </row>
    <row r="132" spans="2:20" ht="15">
      <c r="B132" s="105"/>
      <c r="C132" s="105"/>
      <c r="D132" s="105"/>
      <c r="F132" s="105"/>
      <c r="G132" s="105"/>
      <c r="H132" s="105"/>
      <c r="J132" s="105"/>
      <c r="K132" s="105"/>
      <c r="L132" s="105"/>
      <c r="N132" s="105"/>
      <c r="O132" s="105"/>
      <c r="P132" s="105"/>
      <c r="R132" s="105"/>
      <c r="S132" s="105"/>
      <c r="T132" s="105"/>
    </row>
    <row r="133" spans="2:20" ht="15">
      <c r="B133" s="105"/>
      <c r="C133" s="105"/>
      <c r="D133" s="105"/>
      <c r="F133" s="105"/>
      <c r="G133" s="105"/>
      <c r="H133" s="105"/>
      <c r="J133" s="105"/>
      <c r="K133" s="105"/>
      <c r="L133" s="105"/>
      <c r="N133" s="105"/>
      <c r="O133" s="105"/>
      <c r="P133" s="105"/>
      <c r="R133" s="105"/>
      <c r="S133" s="105"/>
      <c r="T133" s="105"/>
    </row>
    <row r="134" spans="2:20" ht="15">
      <c r="B134" s="105"/>
      <c r="C134" s="105"/>
      <c r="D134" s="105"/>
      <c r="F134" s="105"/>
      <c r="G134" s="105"/>
      <c r="H134" s="105"/>
      <c r="J134" s="105"/>
      <c r="K134" s="105"/>
      <c r="L134" s="105"/>
      <c r="N134" s="105"/>
      <c r="O134" s="105"/>
      <c r="P134" s="105"/>
      <c r="R134" s="105"/>
      <c r="S134" s="105"/>
      <c r="T134" s="105"/>
    </row>
    <row r="135" spans="2:20" ht="15">
      <c r="B135" s="105"/>
      <c r="C135" s="105"/>
      <c r="D135" s="105"/>
      <c r="F135" s="105"/>
      <c r="G135" s="105"/>
      <c r="H135" s="105"/>
      <c r="J135" s="105"/>
      <c r="K135" s="105"/>
      <c r="L135" s="105"/>
      <c r="N135" s="105"/>
      <c r="O135" s="105"/>
      <c r="P135" s="105"/>
      <c r="R135" s="105"/>
      <c r="S135" s="105"/>
      <c r="T135" s="105"/>
    </row>
    <row r="136" spans="2:20" ht="15">
      <c r="B136" s="105"/>
      <c r="C136" s="105"/>
      <c r="D136" s="105"/>
      <c r="F136" s="105"/>
      <c r="G136" s="105"/>
      <c r="H136" s="105"/>
      <c r="J136" s="105"/>
      <c r="K136" s="105"/>
      <c r="L136" s="105"/>
      <c r="N136" s="105"/>
      <c r="O136" s="105"/>
      <c r="P136" s="105"/>
      <c r="R136" s="105"/>
      <c r="S136" s="105"/>
      <c r="T136" s="105"/>
    </row>
    <row r="137" spans="2:20" ht="15">
      <c r="B137" s="105"/>
      <c r="C137" s="105"/>
      <c r="D137" s="105"/>
      <c r="F137" s="105"/>
      <c r="G137" s="105"/>
      <c r="H137" s="105"/>
      <c r="J137" s="105"/>
      <c r="K137" s="105"/>
      <c r="L137" s="105"/>
      <c r="N137" s="105"/>
      <c r="O137" s="105"/>
      <c r="P137" s="105"/>
      <c r="R137" s="105"/>
      <c r="S137" s="105"/>
      <c r="T137" s="105"/>
    </row>
    <row r="138" spans="2:20" ht="15">
      <c r="B138" s="105"/>
      <c r="C138" s="105"/>
      <c r="D138" s="105"/>
      <c r="F138" s="105"/>
      <c r="G138" s="105"/>
      <c r="H138" s="105"/>
      <c r="J138" s="105"/>
      <c r="K138" s="105"/>
      <c r="L138" s="105"/>
      <c r="N138" s="105"/>
      <c r="O138" s="105"/>
      <c r="P138" s="105"/>
      <c r="R138" s="105"/>
      <c r="S138" s="105"/>
      <c r="T138" s="105"/>
    </row>
    <row r="139" spans="2:20" ht="15">
      <c r="B139" s="105"/>
      <c r="C139" s="105"/>
      <c r="D139" s="105"/>
      <c r="F139" s="105"/>
      <c r="G139" s="105"/>
      <c r="H139" s="105"/>
      <c r="J139" s="105"/>
      <c r="K139" s="105"/>
      <c r="L139" s="105"/>
      <c r="N139" s="105"/>
      <c r="O139" s="105"/>
      <c r="P139" s="105"/>
      <c r="R139" s="105"/>
      <c r="S139" s="105"/>
      <c r="T139" s="105"/>
    </row>
    <row r="140" spans="2:20" ht="15">
      <c r="B140" s="105"/>
      <c r="C140" s="105"/>
      <c r="D140" s="105"/>
      <c r="F140" s="105"/>
      <c r="G140" s="105"/>
      <c r="H140" s="105"/>
      <c r="J140" s="105"/>
      <c r="K140" s="105"/>
      <c r="L140" s="105"/>
      <c r="N140" s="105"/>
      <c r="O140" s="105"/>
      <c r="P140" s="105"/>
      <c r="R140" s="105"/>
      <c r="S140" s="105"/>
      <c r="T140" s="105"/>
    </row>
  </sheetData>
  <sheetProtection password="BDDB" sheet="1" objects="1" scenarios="1" selectLockedCells="1"/>
  <mergeCells count="22">
    <mergeCell ref="C79:W79"/>
    <mergeCell ref="T9:AF9"/>
    <mergeCell ref="D8:P9"/>
    <mergeCell ref="C72:W75"/>
    <mergeCell ref="C76:W76"/>
    <mergeCell ref="C77:W77"/>
    <mergeCell ref="C78:W78"/>
    <mergeCell ref="J62:L62"/>
    <mergeCell ref="F62:H62"/>
    <mergeCell ref="R62:T62"/>
    <mergeCell ref="C71:R71"/>
    <mergeCell ref="Z62:AB62"/>
    <mergeCell ref="F12:H12"/>
    <mergeCell ref="J12:L12"/>
    <mergeCell ref="N12:P12"/>
    <mergeCell ref="R12:T12"/>
    <mergeCell ref="C6:U6"/>
    <mergeCell ref="V12:X12"/>
    <mergeCell ref="N62:P62"/>
    <mergeCell ref="V62:X62"/>
    <mergeCell ref="C2:AC2"/>
    <mergeCell ref="Z12:AB12"/>
  </mergeCells>
  <conditionalFormatting sqref="L68">
    <cfRule type="expression" priority="6" dxfId="49" stopIfTrue="1">
      <formula>"ROUND('2. Enrollment Projections'!E25/(J46),0) &lt; ROUND('2. Enrollment Projections'!E25/(J28),0)"</formula>
    </cfRule>
  </conditionalFormatting>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tabColor theme="3"/>
  </sheetPr>
  <dimension ref="B2:AJ188"/>
  <sheetViews>
    <sheetView tabSelected="1" zoomScale="90" zoomScaleNormal="90" zoomScalePageLayoutView="0" workbookViewId="0" topLeftCell="A6">
      <selection activeCell="H36" sqref="H36"/>
    </sheetView>
  </sheetViews>
  <sheetFormatPr defaultColWidth="9.140625" defaultRowHeight="15"/>
  <cols>
    <col min="1" max="2" width="3.00390625" style="257" customWidth="1"/>
    <col min="3" max="3" width="3.7109375" style="258" customWidth="1"/>
    <col min="4" max="4" width="33.140625" style="259" customWidth="1"/>
    <col min="5" max="5" width="32.7109375" style="257" customWidth="1"/>
    <col min="6" max="6" width="2.7109375" style="257" customWidth="1"/>
    <col min="7" max="11" width="17.7109375" style="257" customWidth="1"/>
    <col min="12" max="12" width="17.7109375" style="260" customWidth="1"/>
    <col min="13" max="13" width="2.7109375" style="260" customWidth="1"/>
    <col min="14" max="14" width="48.7109375" style="261" customWidth="1"/>
    <col min="15" max="15" width="3.00390625" style="261" customWidth="1"/>
    <col min="16" max="16" width="3.00390625" style="257" customWidth="1"/>
    <col min="17" max="17" width="32.8515625" style="262" bestFit="1" customWidth="1"/>
    <col min="18" max="16384" width="9.140625" style="257" customWidth="1"/>
  </cols>
  <sheetData>
    <row r="1" ht="15" customHeight="1" thickBot="1"/>
    <row r="2" spans="2:16" ht="17.25" customHeight="1">
      <c r="B2" s="263"/>
      <c r="C2" s="264"/>
      <c r="D2" s="492" t="s">
        <v>523</v>
      </c>
      <c r="E2" s="553"/>
      <c r="F2" s="553"/>
      <c r="G2" s="553"/>
      <c r="H2" s="553"/>
      <c r="I2" s="553"/>
      <c r="J2" s="553"/>
      <c r="K2" s="553"/>
      <c r="L2" s="553"/>
      <c r="M2" s="553"/>
      <c r="N2" s="553"/>
      <c r="O2" s="265"/>
      <c r="P2" s="266"/>
    </row>
    <row r="3" spans="2:16" ht="15" customHeight="1">
      <c r="B3" s="267"/>
      <c r="C3" s="268"/>
      <c r="D3" s="269"/>
      <c r="E3" s="270"/>
      <c r="F3" s="270"/>
      <c r="G3" s="270"/>
      <c r="H3" s="25"/>
      <c r="I3" s="25"/>
      <c r="J3" s="25"/>
      <c r="K3" s="25"/>
      <c r="L3" s="271"/>
      <c r="M3" s="271"/>
      <c r="N3" s="272"/>
      <c r="O3" s="272"/>
      <c r="P3" s="273"/>
    </row>
    <row r="4" spans="2:18" s="274" customFormat="1" ht="15" customHeight="1">
      <c r="B4" s="267"/>
      <c r="C4" s="268"/>
      <c r="D4" s="113" t="s">
        <v>64</v>
      </c>
      <c r="E4" s="275" t="str">
        <f>IF(ISBLANK('1. Instructions'!E6),"Please enter School Name on Tab 1.",'1. Instructions'!E6)</f>
        <v>Promise Prep </v>
      </c>
      <c r="F4" s="275"/>
      <c r="G4" s="270"/>
      <c r="H4" s="25"/>
      <c r="I4" s="276"/>
      <c r="J4" s="25"/>
      <c r="K4" s="25"/>
      <c r="L4" s="25"/>
      <c r="M4" s="25"/>
      <c r="N4" s="25"/>
      <c r="O4" s="25"/>
      <c r="P4" s="273"/>
      <c r="R4" s="257"/>
    </row>
    <row r="5" spans="2:18" s="274" customFormat="1" ht="15" customHeight="1">
      <c r="B5" s="267"/>
      <c r="C5" s="268"/>
      <c r="D5" s="113" t="s">
        <v>522</v>
      </c>
      <c r="E5" s="275" t="str">
        <f>'1. Instructions'!E8</f>
        <v>2024 - 25 SY</v>
      </c>
      <c r="F5" s="275"/>
      <c r="G5" s="270"/>
      <c r="H5" s="25"/>
      <c r="I5" s="276"/>
      <c r="J5" s="25"/>
      <c r="K5" s="25"/>
      <c r="L5" s="25"/>
      <c r="M5" s="25"/>
      <c r="N5" s="25"/>
      <c r="O5" s="25"/>
      <c r="P5" s="273"/>
      <c r="R5" s="257"/>
    </row>
    <row r="6" spans="2:16" ht="15" customHeight="1">
      <c r="B6" s="267"/>
      <c r="C6" s="268"/>
      <c r="D6" s="277"/>
      <c r="E6" s="25"/>
      <c r="F6" s="25"/>
      <c r="G6" s="25"/>
      <c r="H6" s="25"/>
      <c r="I6" s="25"/>
      <c r="J6" s="25"/>
      <c r="K6" s="25"/>
      <c r="L6" s="127"/>
      <c r="M6" s="127"/>
      <c r="N6" s="127"/>
      <c r="O6" s="127"/>
      <c r="P6" s="273"/>
    </row>
    <row r="7" spans="2:16" ht="15" customHeight="1">
      <c r="B7" s="267"/>
      <c r="C7" s="268"/>
      <c r="D7" s="278" t="s">
        <v>94</v>
      </c>
      <c r="E7" s="23"/>
      <c r="F7" s="23"/>
      <c r="G7" s="23"/>
      <c r="H7" s="23"/>
      <c r="I7" s="23"/>
      <c r="J7" s="23"/>
      <c r="K7" s="23"/>
      <c r="L7" s="279"/>
      <c r="M7" s="279"/>
      <c r="N7" s="280"/>
      <c r="O7" s="127"/>
      <c r="P7" s="273"/>
    </row>
    <row r="8" spans="2:16" ht="46.5" customHeight="1">
      <c r="B8" s="267"/>
      <c r="C8" s="268"/>
      <c r="D8" s="536" t="s">
        <v>98</v>
      </c>
      <c r="E8" s="537"/>
      <c r="F8" s="537"/>
      <c r="G8" s="537"/>
      <c r="H8" s="537"/>
      <c r="I8" s="537"/>
      <c r="J8" s="537"/>
      <c r="K8" s="537"/>
      <c r="L8" s="537"/>
      <c r="M8" s="537"/>
      <c r="N8" s="538"/>
      <c r="O8" s="127"/>
      <c r="P8" s="273"/>
    </row>
    <row r="9" spans="2:16" ht="15" customHeight="1">
      <c r="B9" s="267"/>
      <c r="C9" s="268"/>
      <c r="D9" s="352"/>
      <c r="E9" s="353"/>
      <c r="F9" s="353"/>
      <c r="G9" s="353"/>
      <c r="H9" s="353"/>
      <c r="I9" s="353"/>
      <c r="J9" s="353"/>
      <c r="K9" s="353"/>
      <c r="L9" s="353"/>
      <c r="M9" s="353"/>
      <c r="N9" s="353"/>
      <c r="O9" s="127"/>
      <c r="P9" s="273"/>
    </row>
    <row r="10" spans="2:16" ht="29.25" customHeight="1">
      <c r="B10" s="267"/>
      <c r="C10" s="268"/>
      <c r="D10" s="547" t="s">
        <v>488</v>
      </c>
      <c r="E10" s="548"/>
      <c r="F10" s="548"/>
      <c r="G10" s="548"/>
      <c r="H10" s="548"/>
      <c r="I10" s="548"/>
      <c r="J10" s="548"/>
      <c r="K10" s="548"/>
      <c r="L10" s="548"/>
      <c r="M10" s="548"/>
      <c r="N10" s="548"/>
      <c r="O10" s="127"/>
      <c r="P10" s="273"/>
    </row>
    <row r="11" spans="2:16" ht="15" customHeight="1">
      <c r="B11" s="267"/>
      <c r="C11" s="268"/>
      <c r="D11" s="277"/>
      <c r="E11" s="25"/>
      <c r="F11" s="25"/>
      <c r="G11" s="268"/>
      <c r="H11" s="268"/>
      <c r="I11" s="268"/>
      <c r="J11" s="268"/>
      <c r="K11" s="268"/>
      <c r="L11" s="127"/>
      <c r="M11" s="127"/>
      <c r="N11" s="115"/>
      <c r="O11" s="115"/>
      <c r="P11" s="273"/>
    </row>
    <row r="12" spans="2:16" ht="15" customHeight="1" thickBot="1">
      <c r="B12" s="267"/>
      <c r="C12" s="281"/>
      <c r="D12" s="282"/>
      <c r="E12" s="23"/>
      <c r="F12" s="23"/>
      <c r="G12" s="21"/>
      <c r="H12" s="21"/>
      <c r="I12" s="21"/>
      <c r="J12" s="21"/>
      <c r="K12" s="21"/>
      <c r="L12" s="283"/>
      <c r="M12" s="283"/>
      <c r="N12" s="279"/>
      <c r="O12" s="280"/>
      <c r="P12" s="273"/>
    </row>
    <row r="13" spans="2:16" ht="15" customHeight="1">
      <c r="B13" s="267"/>
      <c r="C13" s="285"/>
      <c r="D13" s="554" t="s">
        <v>18</v>
      </c>
      <c r="E13" s="555"/>
      <c r="F13" s="374"/>
      <c r="G13" s="558" t="s">
        <v>518</v>
      </c>
      <c r="H13" s="558" t="s">
        <v>7</v>
      </c>
      <c r="I13" s="558" t="s">
        <v>8</v>
      </c>
      <c r="J13" s="558" t="s">
        <v>9</v>
      </c>
      <c r="K13" s="558" t="s">
        <v>10</v>
      </c>
      <c r="L13" s="549" t="s">
        <v>11</v>
      </c>
      <c r="M13" s="359"/>
      <c r="N13" s="549" t="s">
        <v>489</v>
      </c>
      <c r="O13" s="284"/>
      <c r="P13" s="273"/>
    </row>
    <row r="14" spans="2:16" ht="15" customHeight="1">
      <c r="B14" s="267"/>
      <c r="C14" s="285"/>
      <c r="D14" s="556"/>
      <c r="E14" s="557"/>
      <c r="F14" s="346"/>
      <c r="G14" s="550"/>
      <c r="H14" s="559"/>
      <c r="I14" s="559"/>
      <c r="J14" s="559"/>
      <c r="K14" s="559"/>
      <c r="L14" s="559"/>
      <c r="M14" s="360"/>
      <c r="N14" s="550"/>
      <c r="O14" s="346"/>
      <c r="P14" s="273"/>
    </row>
    <row r="15" spans="2:16" ht="15.75" customHeight="1">
      <c r="B15" s="267"/>
      <c r="C15" s="285"/>
      <c r="D15" s="383"/>
      <c r="E15" s="384"/>
      <c r="F15" s="314"/>
      <c r="G15" s="315"/>
      <c r="H15" s="23"/>
      <c r="I15" s="23"/>
      <c r="J15" s="23"/>
      <c r="K15" s="23"/>
      <c r="L15" s="23"/>
      <c r="M15" s="25"/>
      <c r="N15" s="315"/>
      <c r="O15" s="346"/>
      <c r="P15" s="273"/>
    </row>
    <row r="16" spans="2:17" s="286" customFormat="1" ht="15.75" customHeight="1">
      <c r="B16" s="267"/>
      <c r="C16" s="285"/>
      <c r="D16" s="518" t="s">
        <v>431</v>
      </c>
      <c r="E16" s="519"/>
      <c r="F16" s="270"/>
      <c r="G16" s="270"/>
      <c r="H16" s="304"/>
      <c r="I16" s="304"/>
      <c r="J16" s="304"/>
      <c r="K16" s="304"/>
      <c r="L16" s="305"/>
      <c r="M16" s="271"/>
      <c r="N16" s="362" t="s">
        <v>490</v>
      </c>
      <c r="O16" s="288"/>
      <c r="P16" s="273"/>
      <c r="Q16" s="289"/>
    </row>
    <row r="17" spans="2:16" ht="15.75" customHeight="1">
      <c r="B17" s="267"/>
      <c r="C17" s="285"/>
      <c r="D17" s="510" t="s">
        <v>540</v>
      </c>
      <c r="E17" s="511"/>
      <c r="F17" s="25"/>
      <c r="G17" s="290">
        <f>IF('2. Enrollment Projections'!E34&gt;0,'2. Enrollment Projections'!E44,'2. Enrollment Projections'!E42)</f>
        <v>768539.04</v>
      </c>
      <c r="H17" s="290">
        <f>IF('2. Enrollment Projections'!F34&gt;0,'2. Enrollment Projections'!F44,'2. Enrollment Projections'!F42)</f>
        <v>845392.944</v>
      </c>
      <c r="I17" s="290">
        <f>IF('2. Enrollment Projections'!G34&gt;0,'2. Enrollment Projections'!G44,'2. Enrollment Projections'!G42)</f>
        <v>922246.848</v>
      </c>
      <c r="J17" s="290">
        <f>IF('2. Enrollment Projections'!H34&gt;0,'2. Enrollment Projections'!H44,'2. Enrollment Projections'!H42)</f>
        <v>999100.752</v>
      </c>
      <c r="K17" s="290">
        <f>IF('2. Enrollment Projections'!I34&gt;0,'2. Enrollment Projections'!I44,'2. Enrollment Projections'!I42)</f>
        <v>1075954.656</v>
      </c>
      <c r="L17" s="290">
        <f>IF('2. Enrollment Projections'!J34&gt;0,'2. Enrollment Projections'!J44,'2. Enrollment Projections'!J42)</f>
        <v>1152808.56</v>
      </c>
      <c r="M17" s="354"/>
      <c r="N17" s="563"/>
      <c r="O17" s="288"/>
      <c r="P17" s="291"/>
    </row>
    <row r="18" spans="2:17" ht="15.75" customHeight="1">
      <c r="B18" s="267"/>
      <c r="C18" s="285"/>
      <c r="D18" s="510" t="s">
        <v>416</v>
      </c>
      <c r="E18" s="511"/>
      <c r="F18" s="25"/>
      <c r="G18" s="290">
        <f>IF('2. Enrollment Projections'!E34&gt;0,('2. Enrollment Projections'!E34*'2. Enrollment Projections'!E37)*CONTROL!$K$20,('2. Enrollment Projections'!E30*'2. Enrollment Projections'!E37)*CONTROL!$K$20)</f>
        <v>43950</v>
      </c>
      <c r="H18" s="290">
        <f>IF('2. Enrollment Projections'!F34&gt;0,('2. Enrollment Projections'!F34*'2. Enrollment Projections'!F37)*CONTROL!$K$20,('2. Enrollment Projections'!F30*'2. Enrollment Projections'!F37)*CONTROL!$K$20)</f>
        <v>48345</v>
      </c>
      <c r="I18" s="290">
        <f>IF('2. Enrollment Projections'!G34&gt;0,('2. Enrollment Projections'!G34*'2. Enrollment Projections'!G37)*CONTROL!$K$20,('2. Enrollment Projections'!G30*'2. Enrollment Projections'!G37)*CONTROL!$K$20)</f>
        <v>52740</v>
      </c>
      <c r="J18" s="290">
        <f>IF('2. Enrollment Projections'!H34&gt;0,('2. Enrollment Projections'!H34*'2. Enrollment Projections'!H37)*CONTROL!$K$20,('2. Enrollment Projections'!H30*'2. Enrollment Projections'!H37)*CONTROL!$K$20)</f>
        <v>57135</v>
      </c>
      <c r="K18" s="290">
        <f>IF('2. Enrollment Projections'!I34&gt;0,('2. Enrollment Projections'!I34*'2. Enrollment Projections'!I37)*CONTROL!$K$20,('2. Enrollment Projections'!I30*'2. Enrollment Projections'!I37)*CONTROL!$K$20)</f>
        <v>61530</v>
      </c>
      <c r="L18" s="290">
        <f>IF('2. Enrollment Projections'!J34&gt;0,('2. Enrollment Projections'!J34*'2. Enrollment Projections'!J37)*CONTROL!$K$20,('2. Enrollment Projections'!J30*'2. Enrollment Projections'!J37)*CONTROL!$K$20)</f>
        <v>65925</v>
      </c>
      <c r="M18" s="354"/>
      <c r="N18" s="564"/>
      <c r="O18" s="292"/>
      <c r="P18" s="291"/>
      <c r="Q18" s="257"/>
    </row>
    <row r="19" spans="2:16" ht="15.75" customHeight="1">
      <c r="B19" s="267"/>
      <c r="C19" s="285"/>
      <c r="D19" s="524" t="s">
        <v>541</v>
      </c>
      <c r="E19" s="525"/>
      <c r="F19" s="372"/>
      <c r="G19" s="293">
        <v>0</v>
      </c>
      <c r="H19" s="293">
        <v>0</v>
      </c>
      <c r="I19" s="293">
        <v>0</v>
      </c>
      <c r="J19" s="293">
        <v>0</v>
      </c>
      <c r="K19" s="293">
        <v>0</v>
      </c>
      <c r="L19" s="293">
        <v>0</v>
      </c>
      <c r="M19" s="361"/>
      <c r="N19" s="564"/>
      <c r="O19" s="288"/>
      <c r="P19" s="291"/>
    </row>
    <row r="20" spans="2:16" ht="15.75" customHeight="1">
      <c r="B20" s="267"/>
      <c r="C20" s="285"/>
      <c r="D20" s="522" t="s">
        <v>542</v>
      </c>
      <c r="E20" s="523"/>
      <c r="F20" s="370"/>
      <c r="G20" s="293">
        <v>0</v>
      </c>
      <c r="H20" s="293">
        <v>0</v>
      </c>
      <c r="I20" s="293">
        <v>0</v>
      </c>
      <c r="J20" s="293">
        <v>0</v>
      </c>
      <c r="K20" s="293">
        <v>0</v>
      </c>
      <c r="L20" s="293">
        <v>0</v>
      </c>
      <c r="M20" s="361"/>
      <c r="N20" s="564"/>
      <c r="O20" s="288"/>
      <c r="P20" s="291"/>
    </row>
    <row r="21" spans="2:16" ht="15.75" customHeight="1">
      <c r="B21" s="267"/>
      <c r="C21" s="285"/>
      <c r="D21" s="566" t="s">
        <v>543</v>
      </c>
      <c r="E21" s="567"/>
      <c r="F21" s="370"/>
      <c r="G21" s="293">
        <v>0</v>
      </c>
      <c r="H21" s="293">
        <v>0</v>
      </c>
      <c r="I21" s="293">
        <v>0</v>
      </c>
      <c r="J21" s="293">
        <v>0</v>
      </c>
      <c r="K21" s="293">
        <v>0</v>
      </c>
      <c r="L21" s="293">
        <v>0</v>
      </c>
      <c r="M21" s="361"/>
      <c r="N21" s="564"/>
      <c r="O21" s="288"/>
      <c r="P21" s="291"/>
    </row>
    <row r="22" spans="2:16" ht="15.75" customHeight="1">
      <c r="B22" s="267"/>
      <c r="C22" s="285"/>
      <c r="D22" s="522" t="s">
        <v>544</v>
      </c>
      <c r="E22" s="523"/>
      <c r="F22" s="370"/>
      <c r="G22" s="293">
        <v>125000</v>
      </c>
      <c r="H22" s="293">
        <f>1400*'2. Enrollment Projections'!F30</f>
        <v>154000</v>
      </c>
      <c r="I22" s="293">
        <f>1400*'2. Enrollment Projections'!G30</f>
        <v>168000</v>
      </c>
      <c r="J22" s="293">
        <f>1400*'2. Enrollment Projections'!H30</f>
        <v>182000</v>
      </c>
      <c r="K22" s="293">
        <f>1400*'2. Enrollment Projections'!I30</f>
        <v>196000</v>
      </c>
      <c r="L22" s="293">
        <f>1400*'2. Enrollment Projections'!J30</f>
        <v>210000</v>
      </c>
      <c r="M22" s="361"/>
      <c r="N22" s="564"/>
      <c r="O22" s="288"/>
      <c r="P22" s="291"/>
    </row>
    <row r="23" spans="2:16" ht="15.75" customHeight="1">
      <c r="B23" s="267"/>
      <c r="C23" s="285"/>
      <c r="D23" s="522" t="s">
        <v>545</v>
      </c>
      <c r="E23" s="523"/>
      <c r="F23" s="370"/>
      <c r="G23" s="293"/>
      <c r="H23" s="293">
        <v>0</v>
      </c>
      <c r="I23" s="293">
        <v>0</v>
      </c>
      <c r="J23" s="293">
        <v>0</v>
      </c>
      <c r="K23" s="293">
        <v>0</v>
      </c>
      <c r="L23" s="293">
        <v>0</v>
      </c>
      <c r="M23" s="361"/>
      <c r="N23" s="564"/>
      <c r="O23" s="288"/>
      <c r="P23" s="291"/>
    </row>
    <row r="24" spans="2:16" ht="15.75" customHeight="1">
      <c r="B24" s="267"/>
      <c r="C24" s="285"/>
      <c r="D24" s="522" t="s">
        <v>15</v>
      </c>
      <c r="E24" s="523"/>
      <c r="F24" s="370"/>
      <c r="G24" s="293"/>
      <c r="H24" s="293">
        <v>0</v>
      </c>
      <c r="I24" s="293">
        <v>0</v>
      </c>
      <c r="J24" s="293">
        <v>0</v>
      </c>
      <c r="K24" s="293">
        <v>0</v>
      </c>
      <c r="L24" s="293">
        <v>0</v>
      </c>
      <c r="M24" s="361"/>
      <c r="N24" s="564"/>
      <c r="O24" s="295"/>
      <c r="P24" s="291"/>
    </row>
    <row r="25" spans="2:16" ht="15.75" customHeight="1">
      <c r="B25" s="267"/>
      <c r="C25" s="285"/>
      <c r="D25" s="522" t="s">
        <v>427</v>
      </c>
      <c r="E25" s="523"/>
      <c r="F25" s="370"/>
      <c r="G25" s="293"/>
      <c r="H25" s="293">
        <v>0</v>
      </c>
      <c r="I25" s="293">
        <v>0</v>
      </c>
      <c r="J25" s="293">
        <v>0</v>
      </c>
      <c r="K25" s="293">
        <v>0</v>
      </c>
      <c r="L25" s="293">
        <v>0</v>
      </c>
      <c r="M25" s="361"/>
      <c r="N25" s="564"/>
      <c r="O25" s="295"/>
      <c r="P25" s="291"/>
    </row>
    <row r="26" spans="2:16" ht="15.75" customHeight="1">
      <c r="B26" s="267"/>
      <c r="C26" s="285"/>
      <c r="D26" s="522" t="s">
        <v>546</v>
      </c>
      <c r="E26" s="523"/>
      <c r="F26" s="370"/>
      <c r="G26" s="293">
        <v>4759</v>
      </c>
      <c r="H26" s="293">
        <f>G26/'2. Enrollment Projections'!$E$30*'2. Enrollment Projections'!$F$30</f>
        <v>5234.900000000001</v>
      </c>
      <c r="I26" s="293">
        <f>H26/'2. Enrollment Projections'!$F$30*'2. Enrollment Projections'!$G$30</f>
        <v>5710.8</v>
      </c>
      <c r="J26" s="293">
        <f>I26/'2. Enrollment Projections'!$G$30*'2. Enrollment Projections'!$H$30</f>
        <v>6186.700000000001</v>
      </c>
      <c r="K26" s="293">
        <f>J26/'2. Enrollment Projections'!$H$30*'2. Enrollment Projections'!$I$30</f>
        <v>6662.6</v>
      </c>
      <c r="L26" s="293">
        <f>K26/'2. Enrollment Projections'!$I$30*'2. Enrollment Projections'!$J$30</f>
        <v>7138.500000000001</v>
      </c>
      <c r="M26" s="364"/>
      <c r="N26" s="564"/>
      <c r="O26" s="296"/>
      <c r="P26" s="291"/>
    </row>
    <row r="27" spans="2:23" ht="15.75" customHeight="1">
      <c r="B27" s="267"/>
      <c r="C27" s="285"/>
      <c r="D27" s="520" t="s">
        <v>547</v>
      </c>
      <c r="E27" s="521"/>
      <c r="F27" s="370"/>
      <c r="G27" s="293"/>
      <c r="H27" s="293">
        <v>0</v>
      </c>
      <c r="I27" s="293">
        <v>0</v>
      </c>
      <c r="J27" s="293">
        <v>0</v>
      </c>
      <c r="K27" s="293">
        <v>0</v>
      </c>
      <c r="L27" s="293">
        <v>0</v>
      </c>
      <c r="M27" s="364"/>
      <c r="N27" s="564"/>
      <c r="O27" s="288"/>
      <c r="P27" s="291"/>
      <c r="Q27" s="286"/>
      <c r="R27" s="286"/>
      <c r="S27" s="286"/>
      <c r="T27" s="286"/>
      <c r="U27" s="286"/>
      <c r="V27" s="286"/>
      <c r="W27" s="286"/>
    </row>
    <row r="28" spans="2:23" ht="15.75" customHeight="1">
      <c r="B28" s="267"/>
      <c r="C28" s="285"/>
      <c r="D28" s="522" t="s">
        <v>428</v>
      </c>
      <c r="E28" s="523"/>
      <c r="F28" s="370"/>
      <c r="G28" s="293">
        <v>5000</v>
      </c>
      <c r="H28" s="293">
        <f>G28/'2. Enrollment Projections'!$E$30*'2. Enrollment Projections'!$F$30</f>
        <v>5500</v>
      </c>
      <c r="I28" s="293">
        <f>H28/'2. Enrollment Projections'!$F$30*'2. Enrollment Projections'!$G$30</f>
        <v>6000</v>
      </c>
      <c r="J28" s="293">
        <f>I28*1.03</f>
        <v>6180</v>
      </c>
      <c r="K28" s="293">
        <f>J28*1.03</f>
        <v>6365.400000000001</v>
      </c>
      <c r="L28" s="293">
        <f>K28*1.03</f>
        <v>6556.362000000001</v>
      </c>
      <c r="M28" s="361"/>
      <c r="N28" s="564"/>
      <c r="O28" s="288"/>
      <c r="P28" s="291"/>
      <c r="Q28" s="286"/>
      <c r="R28" s="286"/>
      <c r="S28" s="286"/>
      <c r="T28" s="286"/>
      <c r="U28" s="286"/>
      <c r="V28" s="286"/>
      <c r="W28" s="286"/>
    </row>
    <row r="29" spans="2:17" ht="15.75" customHeight="1">
      <c r="B29" s="267"/>
      <c r="C29" s="285"/>
      <c r="D29" s="522" t="s">
        <v>429</v>
      </c>
      <c r="E29" s="523"/>
      <c r="F29" s="370"/>
      <c r="G29" s="293">
        <v>0</v>
      </c>
      <c r="H29" s="293"/>
      <c r="I29" s="293"/>
      <c r="J29" s="293"/>
      <c r="K29" s="293"/>
      <c r="L29" s="293"/>
      <c r="M29" s="361"/>
      <c r="N29" s="564"/>
      <c r="O29" s="288"/>
      <c r="P29" s="291"/>
      <c r="Q29" s="257"/>
    </row>
    <row r="30" spans="2:17" ht="15.75" customHeight="1">
      <c r="B30" s="267"/>
      <c r="C30" s="285"/>
      <c r="D30" s="512"/>
      <c r="E30" s="513"/>
      <c r="F30" s="25"/>
      <c r="G30" s="22"/>
      <c r="H30" s="22"/>
      <c r="I30" s="22"/>
      <c r="J30" s="22"/>
      <c r="K30" s="22"/>
      <c r="L30" s="287"/>
      <c r="M30" s="271"/>
      <c r="N30" s="561"/>
      <c r="O30" s="288"/>
      <c r="P30" s="297"/>
      <c r="Q30" s="257"/>
    </row>
    <row r="31" spans="2:17" ht="15.75" customHeight="1">
      <c r="B31" s="267"/>
      <c r="C31" s="285"/>
      <c r="D31" s="514" t="s">
        <v>430</v>
      </c>
      <c r="E31" s="515"/>
      <c r="F31" s="26"/>
      <c r="G31" s="298">
        <f aca="true" t="shared" si="0" ref="G31:L31">SUM(G17:G29)</f>
        <v>947248.04</v>
      </c>
      <c r="H31" s="298">
        <f t="shared" si="0"/>
        <v>1058472.844</v>
      </c>
      <c r="I31" s="298">
        <f t="shared" si="0"/>
        <v>1154697.648</v>
      </c>
      <c r="J31" s="298">
        <f t="shared" si="0"/>
        <v>1250602.4519999998</v>
      </c>
      <c r="K31" s="298">
        <f t="shared" si="0"/>
        <v>1346512.656</v>
      </c>
      <c r="L31" s="299">
        <f t="shared" si="0"/>
        <v>1442428.422</v>
      </c>
      <c r="M31" s="355"/>
      <c r="N31" s="562"/>
      <c r="O31" s="288"/>
      <c r="P31" s="297"/>
      <c r="Q31" s="257"/>
    </row>
    <row r="32" spans="2:17" ht="15.75" customHeight="1">
      <c r="B32" s="267"/>
      <c r="C32" s="285"/>
      <c r="D32" s="512"/>
      <c r="E32" s="513"/>
      <c r="F32" s="25"/>
      <c r="G32" s="294"/>
      <c r="H32" s="23"/>
      <c r="I32" s="23"/>
      <c r="J32" s="23"/>
      <c r="K32" s="23"/>
      <c r="L32" s="300"/>
      <c r="M32" s="271"/>
      <c r="N32" s="345"/>
      <c r="O32" s="288"/>
      <c r="P32" s="297"/>
      <c r="Q32" s="257"/>
    </row>
    <row r="33" spans="2:17" ht="15.75" customHeight="1">
      <c r="B33" s="267"/>
      <c r="C33" s="285"/>
      <c r="D33" s="526" t="s">
        <v>492</v>
      </c>
      <c r="E33" s="527"/>
      <c r="F33" s="270"/>
      <c r="G33" s="309"/>
      <c r="H33" s="516"/>
      <c r="I33" s="517"/>
      <c r="J33" s="517"/>
      <c r="K33" s="517"/>
      <c r="L33" s="517"/>
      <c r="M33" s="276"/>
      <c r="N33" s="365" t="s">
        <v>491</v>
      </c>
      <c r="O33" s="288"/>
      <c r="P33" s="297"/>
      <c r="Q33" s="257"/>
    </row>
    <row r="34" spans="2:17" ht="15.75" customHeight="1">
      <c r="B34" s="267"/>
      <c r="C34" s="285"/>
      <c r="D34" s="512" t="s">
        <v>552</v>
      </c>
      <c r="E34" s="513"/>
      <c r="F34" s="369"/>
      <c r="G34" s="293"/>
      <c r="H34" s="293">
        <f>G34/'2. Enrollment Projections'!$E$30*'2. Enrollment Projections'!$F$30</f>
        <v>0</v>
      </c>
      <c r="I34" s="293">
        <f>H34/'2. Enrollment Projections'!$F$30*'2. Enrollment Projections'!$G$30</f>
        <v>0</v>
      </c>
      <c r="J34" s="293">
        <f>I34/'2. Enrollment Projections'!$G$30*'2. Enrollment Projections'!$H$30</f>
        <v>0</v>
      </c>
      <c r="K34" s="293">
        <f>J34/'2. Enrollment Projections'!$H$30*'2. Enrollment Projections'!$I$30</f>
        <v>0</v>
      </c>
      <c r="L34" s="293">
        <f>K34/'2. Enrollment Projections'!$I$30*'2. Enrollment Projections'!$J$30</f>
        <v>0</v>
      </c>
      <c r="M34" s="364"/>
      <c r="N34" s="568" t="s">
        <v>858</v>
      </c>
      <c r="O34" s="296"/>
      <c r="P34" s="297"/>
      <c r="Q34" s="257"/>
    </row>
    <row r="35" spans="2:17" ht="15.75" customHeight="1">
      <c r="B35" s="267"/>
      <c r="C35" s="285"/>
      <c r="D35" s="512" t="s">
        <v>432</v>
      </c>
      <c r="E35" s="513"/>
      <c r="F35" s="25"/>
      <c r="G35" s="293"/>
      <c r="H35" s="293">
        <f>G35/'2. Enrollment Projections'!$E$30*'2. Enrollment Projections'!$F$30</f>
        <v>0</v>
      </c>
      <c r="I35" s="293">
        <f>H35/'2. Enrollment Projections'!$F$30*'2. Enrollment Projections'!$G$30</f>
        <v>0</v>
      </c>
      <c r="J35" s="293">
        <f>I35/'2. Enrollment Projections'!$G$30*'2. Enrollment Projections'!$H$30</f>
        <v>0</v>
      </c>
      <c r="K35" s="293">
        <f>J35/'2. Enrollment Projections'!$H$30*'2. Enrollment Projections'!$I$30</f>
        <v>0</v>
      </c>
      <c r="L35" s="293">
        <f>K35/'2. Enrollment Projections'!$I$30*'2. Enrollment Projections'!$J$30</f>
        <v>0</v>
      </c>
      <c r="M35" s="361"/>
      <c r="N35" s="561"/>
      <c r="O35" s="288"/>
      <c r="P35" s="291"/>
      <c r="Q35" s="257"/>
    </row>
    <row r="36" spans="2:17" ht="15.75" customHeight="1">
      <c r="B36" s="267"/>
      <c r="C36" s="285"/>
      <c r="D36" s="512" t="s">
        <v>19</v>
      </c>
      <c r="E36" s="513"/>
      <c r="F36" s="25"/>
      <c r="G36" s="293">
        <v>50000</v>
      </c>
      <c r="H36" s="293">
        <v>68000</v>
      </c>
      <c r="I36" s="293">
        <f>H36/'2. Enrollment Projections'!$F$30*'2. Enrollment Projections'!$G$30</f>
        <v>74181.81818181818</v>
      </c>
      <c r="J36" s="293">
        <f>I36/'2. Enrollment Projections'!$F$30*'2. Enrollment Projections'!$G$30</f>
        <v>80925.61983471074</v>
      </c>
      <c r="K36" s="293">
        <f aca="true" t="shared" si="1" ref="K36:L38">J36*1.03</f>
        <v>83353.38842975207</v>
      </c>
      <c r="L36" s="293">
        <f t="shared" si="1"/>
        <v>85853.99008264464</v>
      </c>
      <c r="M36" s="361"/>
      <c r="N36" s="561"/>
      <c r="O36" s="288"/>
      <c r="P36" s="297"/>
      <c r="Q36" s="257"/>
    </row>
    <row r="37" spans="2:17" ht="15.75" customHeight="1">
      <c r="B37" s="267"/>
      <c r="C37" s="285"/>
      <c r="D37" s="512" t="s">
        <v>0</v>
      </c>
      <c r="E37" s="513"/>
      <c r="F37" s="25"/>
      <c r="G37" s="293">
        <v>68197</v>
      </c>
      <c r="H37" s="293">
        <v>128000</v>
      </c>
      <c r="I37" s="293">
        <f>H37/'2. Enrollment Projections'!$F$30*'2. Enrollment Projections'!$G$30-11299.14+0.7</f>
        <v>128337.92363636364</v>
      </c>
      <c r="J37" s="293">
        <f>I37/'2. Enrollment Projections'!$F$30*'2. Enrollment Projections'!$G$30-11299.14+0.7</f>
        <v>128706.5676033058</v>
      </c>
      <c r="K37" s="293">
        <f t="shared" si="1"/>
        <v>132567.76463140498</v>
      </c>
      <c r="L37" s="293">
        <f t="shared" si="1"/>
        <v>136544.79757034712</v>
      </c>
      <c r="M37" s="361"/>
      <c r="N37" s="561"/>
      <c r="O37" s="288"/>
      <c r="P37" s="297"/>
      <c r="Q37" s="257"/>
    </row>
    <row r="38" spans="2:17" ht="15.75" customHeight="1">
      <c r="B38" s="267"/>
      <c r="C38" s="285"/>
      <c r="D38" s="512" t="s">
        <v>1</v>
      </c>
      <c r="E38" s="513"/>
      <c r="F38" s="25"/>
      <c r="G38" s="293">
        <v>24918</v>
      </c>
      <c r="H38" s="293">
        <f>G38/'2. Enrollment Projections'!$E$30*'2. Enrollment Projections'!$F$30</f>
        <v>27409.8</v>
      </c>
      <c r="I38" s="293">
        <f>H38/'2. Enrollment Projections'!$F$30*'2. Enrollment Projections'!$G$30</f>
        <v>29901.600000000002</v>
      </c>
      <c r="J38" s="293">
        <f>I38/'2. Enrollment Projections'!$F$30*'2. Enrollment Projections'!$G$30</f>
        <v>32619.927272727276</v>
      </c>
      <c r="K38" s="293">
        <f t="shared" si="1"/>
        <v>33598.5250909091</v>
      </c>
      <c r="L38" s="293">
        <f t="shared" si="1"/>
        <v>34606.480843636375</v>
      </c>
      <c r="M38" s="361"/>
      <c r="N38" s="561"/>
      <c r="O38" s="288"/>
      <c r="P38" s="297"/>
      <c r="Q38" s="257"/>
    </row>
    <row r="39" spans="2:17" ht="15.75" customHeight="1">
      <c r="B39" s="267"/>
      <c r="C39" s="285"/>
      <c r="D39" s="512" t="s">
        <v>13</v>
      </c>
      <c r="E39" s="513"/>
      <c r="F39" s="25"/>
      <c r="G39" s="293">
        <f>106054*0.7</f>
        <v>74237.79999999999</v>
      </c>
      <c r="H39" s="293">
        <f>74237.8/100*110</f>
        <v>81661.58</v>
      </c>
      <c r="I39" s="293">
        <v>94510.35543096001</v>
      </c>
      <c r="J39" s="293">
        <v>94510.35543096001</v>
      </c>
      <c r="K39" s="293">
        <v>116977.04208948973</v>
      </c>
      <c r="L39" s="293">
        <v>129092.5214487583</v>
      </c>
      <c r="M39" s="361"/>
      <c r="N39" s="561"/>
      <c r="O39" s="288"/>
      <c r="P39" s="297"/>
      <c r="Q39" s="257"/>
    </row>
    <row r="40" spans="2:17" ht="15.75" customHeight="1">
      <c r="B40" s="267"/>
      <c r="C40" s="285"/>
      <c r="D40" s="512" t="s">
        <v>14</v>
      </c>
      <c r="E40" s="513"/>
      <c r="F40" s="25"/>
      <c r="G40" s="293">
        <f>106054*0.3</f>
        <v>31816.199999999997</v>
      </c>
      <c r="H40" s="293">
        <f>31816.2/100*110</f>
        <v>34997.82000000001</v>
      </c>
      <c r="I40" s="293">
        <v>40504.43804184</v>
      </c>
      <c r="J40" s="293">
        <v>40504.43804184</v>
      </c>
      <c r="K40" s="293">
        <v>50133.01803835274</v>
      </c>
      <c r="L40" s="293">
        <v>55325.36633518213</v>
      </c>
      <c r="M40" s="361"/>
      <c r="N40" s="561"/>
      <c r="O40" s="288"/>
      <c r="P40" s="297"/>
      <c r="Q40" s="257"/>
    </row>
    <row r="41" spans="2:16" ht="15.75" customHeight="1">
      <c r="B41" s="267"/>
      <c r="C41" s="285"/>
      <c r="D41" s="512" t="s">
        <v>433</v>
      </c>
      <c r="E41" s="513"/>
      <c r="F41" s="369"/>
      <c r="G41" s="293">
        <v>150000</v>
      </c>
      <c r="H41" s="293">
        <v>0</v>
      </c>
      <c r="I41" s="293">
        <v>0</v>
      </c>
      <c r="J41" s="293">
        <v>0</v>
      </c>
      <c r="K41" s="293">
        <v>0</v>
      </c>
      <c r="L41" s="293">
        <v>0</v>
      </c>
      <c r="M41" s="361"/>
      <c r="N41" s="561"/>
      <c r="O41" s="288"/>
      <c r="P41" s="297"/>
    </row>
    <row r="42" spans="2:16" ht="15.75" customHeight="1">
      <c r="B42" s="267"/>
      <c r="C42" s="285"/>
      <c r="D42" s="512"/>
      <c r="E42" s="513"/>
      <c r="F42" s="25"/>
      <c r="G42" s="301"/>
      <c r="H42" s="22"/>
      <c r="I42" s="22"/>
      <c r="J42" s="22"/>
      <c r="K42" s="22"/>
      <c r="L42" s="287"/>
      <c r="M42" s="271"/>
      <c r="N42" s="561"/>
      <c r="O42" s="288"/>
      <c r="P42" s="297"/>
    </row>
    <row r="43" spans="2:16" ht="15.75" customHeight="1">
      <c r="B43" s="267"/>
      <c r="C43" s="285"/>
      <c r="D43" s="514" t="s">
        <v>494</v>
      </c>
      <c r="E43" s="515"/>
      <c r="F43" s="24"/>
      <c r="G43" s="298">
        <f aca="true" t="shared" si="2" ref="G43:L43">SUM(G34:G41)</f>
        <v>399169</v>
      </c>
      <c r="H43" s="298">
        <f t="shared" si="2"/>
        <v>340069.2</v>
      </c>
      <c r="I43" s="298">
        <f t="shared" si="2"/>
        <v>367436.13529098185</v>
      </c>
      <c r="J43" s="298">
        <f t="shared" si="2"/>
        <v>377266.9081835438</v>
      </c>
      <c r="K43" s="298">
        <f t="shared" si="2"/>
        <v>416629.73827990855</v>
      </c>
      <c r="L43" s="298">
        <f t="shared" si="2"/>
        <v>441423.15628056857</v>
      </c>
      <c r="M43" s="355"/>
      <c r="N43" s="562"/>
      <c r="O43" s="288"/>
      <c r="P43" s="297"/>
    </row>
    <row r="44" spans="2:16" ht="15.75" customHeight="1">
      <c r="B44" s="267"/>
      <c r="C44" s="285"/>
      <c r="D44" s="512"/>
      <c r="E44" s="513"/>
      <c r="F44" s="25"/>
      <c r="G44" s="303"/>
      <c r="H44" s="23"/>
      <c r="I44" s="23"/>
      <c r="J44" s="23"/>
      <c r="K44" s="23"/>
      <c r="L44" s="300"/>
      <c r="M44" s="271"/>
      <c r="N44" s="345"/>
      <c r="O44" s="288"/>
      <c r="P44" s="297"/>
    </row>
    <row r="45" spans="2:16" ht="15.75" customHeight="1">
      <c r="B45" s="267"/>
      <c r="C45" s="285"/>
      <c r="D45" s="526" t="s">
        <v>493</v>
      </c>
      <c r="E45" s="527"/>
      <c r="F45" s="270"/>
      <c r="G45" s="373"/>
      <c r="H45" s="304"/>
      <c r="I45" s="304"/>
      <c r="J45" s="304"/>
      <c r="K45" s="304"/>
      <c r="L45" s="305"/>
      <c r="M45" s="271"/>
      <c r="N45" s="365" t="s">
        <v>509</v>
      </c>
      <c r="O45" s="288"/>
      <c r="P45" s="297"/>
    </row>
    <row r="46" spans="2:16" ht="15.75" customHeight="1">
      <c r="B46" s="267"/>
      <c r="C46" s="285"/>
      <c r="D46" s="512" t="s">
        <v>20</v>
      </c>
      <c r="E46" s="513"/>
      <c r="F46" s="369"/>
      <c r="G46" s="293">
        <v>334850.96</v>
      </c>
      <c r="H46" s="293">
        <v>43809.76</v>
      </c>
      <c r="I46" s="293">
        <v>0</v>
      </c>
      <c r="J46" s="293">
        <v>0</v>
      </c>
      <c r="K46" s="293">
        <v>0</v>
      </c>
      <c r="L46" s="293">
        <v>0</v>
      </c>
      <c r="M46" s="361"/>
      <c r="N46" s="560" t="s">
        <v>861</v>
      </c>
      <c r="O46" s="288"/>
      <c r="P46" s="297"/>
    </row>
    <row r="47" spans="2:16" ht="15.75" customHeight="1">
      <c r="B47" s="267"/>
      <c r="C47" s="285"/>
      <c r="D47" s="512" t="s">
        <v>434</v>
      </c>
      <c r="E47" s="513"/>
      <c r="F47" s="25"/>
      <c r="G47" s="293">
        <v>0</v>
      </c>
      <c r="H47" s="293">
        <v>0</v>
      </c>
      <c r="I47" s="293">
        <v>0</v>
      </c>
      <c r="J47" s="293">
        <v>0</v>
      </c>
      <c r="K47" s="293">
        <v>0</v>
      </c>
      <c r="L47" s="293">
        <v>0</v>
      </c>
      <c r="M47" s="361"/>
      <c r="N47" s="561"/>
      <c r="O47" s="288"/>
      <c r="P47" s="297"/>
    </row>
    <row r="48" spans="2:16" ht="15.75" customHeight="1">
      <c r="B48" s="267"/>
      <c r="C48" s="285"/>
      <c r="D48" s="512" t="s">
        <v>21</v>
      </c>
      <c r="E48" s="513"/>
      <c r="F48" s="25"/>
      <c r="G48" s="293">
        <v>0</v>
      </c>
      <c r="H48" s="293">
        <v>0</v>
      </c>
      <c r="I48" s="293">
        <v>0</v>
      </c>
      <c r="J48" s="293">
        <v>0</v>
      </c>
      <c r="K48" s="293">
        <v>0</v>
      </c>
      <c r="L48" s="293">
        <v>0</v>
      </c>
      <c r="M48" s="361"/>
      <c r="N48" s="561"/>
      <c r="O48" s="288"/>
      <c r="P48" s="297"/>
    </row>
    <row r="49" spans="2:16" ht="15.75" customHeight="1">
      <c r="B49" s="267"/>
      <c r="C49" s="285"/>
      <c r="D49" s="512" t="s">
        <v>17</v>
      </c>
      <c r="E49" s="513"/>
      <c r="F49" s="369"/>
      <c r="G49" s="293">
        <v>0</v>
      </c>
      <c r="H49" s="293">
        <v>0</v>
      </c>
      <c r="I49" s="293">
        <v>0</v>
      </c>
      <c r="J49" s="293">
        <v>0</v>
      </c>
      <c r="K49" s="293">
        <v>0</v>
      </c>
      <c r="L49" s="293">
        <v>0</v>
      </c>
      <c r="M49" s="361"/>
      <c r="N49" s="561"/>
      <c r="O49" s="288"/>
      <c r="P49" s="306"/>
    </row>
    <row r="50" spans="2:16" ht="15.75" customHeight="1">
      <c r="B50" s="267"/>
      <c r="C50" s="285"/>
      <c r="D50" s="528" t="s">
        <v>535</v>
      </c>
      <c r="E50" s="529"/>
      <c r="F50" s="369"/>
      <c r="G50" s="293">
        <v>0</v>
      </c>
      <c r="H50" s="293">
        <v>0</v>
      </c>
      <c r="I50" s="293">
        <v>0</v>
      </c>
      <c r="J50" s="293">
        <v>0</v>
      </c>
      <c r="K50" s="293">
        <v>0</v>
      </c>
      <c r="L50" s="293">
        <v>0</v>
      </c>
      <c r="M50" s="361"/>
      <c r="N50" s="561"/>
      <c r="O50" s="288"/>
      <c r="P50" s="306"/>
    </row>
    <row r="51" spans="2:16" ht="15.75" customHeight="1">
      <c r="B51" s="267"/>
      <c r="C51" s="285"/>
      <c r="D51" s="528" t="s">
        <v>536</v>
      </c>
      <c r="E51" s="529"/>
      <c r="F51" s="369"/>
      <c r="G51" s="293">
        <v>0</v>
      </c>
      <c r="H51" s="293">
        <v>0</v>
      </c>
      <c r="I51" s="293">
        <v>0</v>
      </c>
      <c r="J51" s="293">
        <v>0</v>
      </c>
      <c r="K51" s="293">
        <v>0</v>
      </c>
      <c r="L51" s="293">
        <v>0</v>
      </c>
      <c r="M51" s="361"/>
      <c r="N51" s="561"/>
      <c r="O51" s="288"/>
      <c r="P51" s="306"/>
    </row>
    <row r="52" spans="2:16" ht="15.75" customHeight="1">
      <c r="B52" s="267"/>
      <c r="C52" s="285"/>
      <c r="D52" s="528" t="s">
        <v>537</v>
      </c>
      <c r="E52" s="529"/>
      <c r="F52" s="369"/>
      <c r="G52" s="293">
        <v>0</v>
      </c>
      <c r="H52" s="293">
        <v>0</v>
      </c>
      <c r="I52" s="293">
        <v>0</v>
      </c>
      <c r="J52" s="293">
        <v>0</v>
      </c>
      <c r="K52" s="293">
        <v>0</v>
      </c>
      <c r="L52" s="293">
        <v>0</v>
      </c>
      <c r="M52" s="361"/>
      <c r="N52" s="561"/>
      <c r="O52" s="288"/>
      <c r="P52" s="306"/>
    </row>
    <row r="53" spans="2:16" ht="15.75" customHeight="1">
      <c r="B53" s="267"/>
      <c r="C53" s="285"/>
      <c r="D53" s="528" t="s">
        <v>538</v>
      </c>
      <c r="E53" s="529"/>
      <c r="F53" s="369"/>
      <c r="G53" s="293">
        <v>0</v>
      </c>
      <c r="H53" s="293">
        <v>0</v>
      </c>
      <c r="I53" s="293">
        <v>0</v>
      </c>
      <c r="J53" s="293">
        <v>0</v>
      </c>
      <c r="K53" s="293"/>
      <c r="L53" s="293">
        <v>0</v>
      </c>
      <c r="M53" s="361"/>
      <c r="N53" s="561"/>
      <c r="O53" s="288"/>
      <c r="P53" s="306"/>
    </row>
    <row r="54" spans="2:16" ht="15.75" customHeight="1">
      <c r="B54" s="267"/>
      <c r="C54" s="285"/>
      <c r="D54" s="528" t="s">
        <v>539</v>
      </c>
      <c r="E54" s="529"/>
      <c r="F54" s="369"/>
      <c r="G54" s="293">
        <v>0</v>
      </c>
      <c r="H54" s="293">
        <v>0</v>
      </c>
      <c r="I54" s="293">
        <v>0</v>
      </c>
      <c r="J54" s="293">
        <v>0</v>
      </c>
      <c r="K54" s="293">
        <v>0</v>
      </c>
      <c r="L54" s="293">
        <v>0</v>
      </c>
      <c r="M54" s="361"/>
      <c r="N54" s="561"/>
      <c r="O54" s="288"/>
      <c r="P54" s="306"/>
    </row>
    <row r="55" spans="2:16" ht="15.75" customHeight="1">
      <c r="B55" s="267"/>
      <c r="C55" s="285"/>
      <c r="D55" s="512" t="s">
        <v>22</v>
      </c>
      <c r="E55" s="513"/>
      <c r="F55" s="369"/>
      <c r="G55" s="293">
        <v>0</v>
      </c>
      <c r="H55" s="293">
        <v>0</v>
      </c>
      <c r="I55" s="293">
        <v>0</v>
      </c>
      <c r="J55" s="293">
        <v>0</v>
      </c>
      <c r="K55" s="293">
        <v>0</v>
      </c>
      <c r="L55" s="293">
        <v>0</v>
      </c>
      <c r="M55" s="361"/>
      <c r="N55" s="561"/>
      <c r="O55" s="288"/>
      <c r="P55" s="306"/>
    </row>
    <row r="56" spans="2:16" ht="15.75" customHeight="1">
      <c r="B56" s="267"/>
      <c r="C56" s="285"/>
      <c r="D56" s="512"/>
      <c r="E56" s="513"/>
      <c r="F56" s="25"/>
      <c r="G56" s="301"/>
      <c r="H56" s="22"/>
      <c r="I56" s="22"/>
      <c r="J56" s="22"/>
      <c r="K56" s="22"/>
      <c r="L56" s="287"/>
      <c r="M56" s="271"/>
      <c r="N56" s="561"/>
      <c r="O56" s="288"/>
      <c r="P56" s="306"/>
    </row>
    <row r="57" spans="2:16" ht="15.75" customHeight="1">
      <c r="B57" s="267"/>
      <c r="C57" s="285"/>
      <c r="D57" s="514" t="s">
        <v>495</v>
      </c>
      <c r="E57" s="515"/>
      <c r="F57" s="24"/>
      <c r="G57" s="298">
        <f aca="true" t="shared" si="3" ref="G57:L57">SUM(G46:G55)</f>
        <v>334850.96</v>
      </c>
      <c r="H57" s="298">
        <f t="shared" si="3"/>
        <v>43809.76</v>
      </c>
      <c r="I57" s="298">
        <f t="shared" si="3"/>
        <v>0</v>
      </c>
      <c r="J57" s="298">
        <f t="shared" si="3"/>
        <v>0</v>
      </c>
      <c r="K57" s="298">
        <f t="shared" si="3"/>
        <v>0</v>
      </c>
      <c r="L57" s="298">
        <f t="shared" si="3"/>
        <v>0</v>
      </c>
      <c r="M57" s="355"/>
      <c r="N57" s="562"/>
      <c r="O57" s="288"/>
      <c r="P57" s="306"/>
    </row>
    <row r="58" spans="2:16" ht="15.75" customHeight="1">
      <c r="B58" s="267"/>
      <c r="C58" s="285"/>
      <c r="D58" s="512"/>
      <c r="E58" s="513"/>
      <c r="F58" s="25"/>
      <c r="G58" s="301"/>
      <c r="H58" s="22"/>
      <c r="I58" s="22"/>
      <c r="J58" s="22"/>
      <c r="K58" s="22"/>
      <c r="L58" s="287"/>
      <c r="M58" s="271"/>
      <c r="N58" s="403"/>
      <c r="O58" s="288"/>
      <c r="P58" s="306"/>
    </row>
    <row r="59" spans="2:16" ht="15.75" customHeight="1">
      <c r="B59" s="267"/>
      <c r="C59" s="285"/>
      <c r="D59" s="530" t="s">
        <v>496</v>
      </c>
      <c r="E59" s="531"/>
      <c r="F59" s="24"/>
      <c r="G59" s="298">
        <f aca="true" t="shared" si="4" ref="G59:L59">G31+G43+G57</f>
        <v>1681268</v>
      </c>
      <c r="H59" s="298">
        <f t="shared" si="4"/>
        <v>1442351.804</v>
      </c>
      <c r="I59" s="298">
        <f t="shared" si="4"/>
        <v>1522133.7832909818</v>
      </c>
      <c r="J59" s="298">
        <f t="shared" si="4"/>
        <v>1627869.3601835435</v>
      </c>
      <c r="K59" s="298">
        <f t="shared" si="4"/>
        <v>1763142.3942799084</v>
      </c>
      <c r="L59" s="298">
        <f t="shared" si="4"/>
        <v>1883851.5782805686</v>
      </c>
      <c r="M59" s="355"/>
      <c r="N59" s="397"/>
      <c r="O59" s="288"/>
      <c r="P59" s="306"/>
    </row>
    <row r="60" spans="2:16" ht="15.75" customHeight="1">
      <c r="B60" s="267"/>
      <c r="C60" s="285"/>
      <c r="D60" s="379"/>
      <c r="E60" s="380"/>
      <c r="F60" s="25"/>
      <c r="G60" s="303"/>
      <c r="H60" s="23"/>
      <c r="I60" s="23"/>
      <c r="J60" s="23"/>
      <c r="K60" s="23"/>
      <c r="L60" s="300"/>
      <c r="M60" s="271"/>
      <c r="N60" s="347"/>
      <c r="O60" s="288"/>
      <c r="P60" s="306"/>
    </row>
    <row r="61" spans="2:17" s="286" customFormat="1" ht="15.75" customHeight="1">
      <c r="B61" s="267"/>
      <c r="C61" s="285"/>
      <c r="D61" s="532" t="s">
        <v>23</v>
      </c>
      <c r="E61" s="533"/>
      <c r="F61" s="371"/>
      <c r="G61" s="309"/>
      <c r="H61" s="270"/>
      <c r="I61" s="270"/>
      <c r="J61" s="270"/>
      <c r="K61" s="270"/>
      <c r="L61" s="271"/>
      <c r="M61" s="271"/>
      <c r="N61" s="345"/>
      <c r="O61" s="288"/>
      <c r="P61" s="297"/>
      <c r="Q61" s="307"/>
    </row>
    <row r="62" spans="2:17" s="286" customFormat="1" ht="15.75" customHeight="1">
      <c r="B62" s="267"/>
      <c r="C62" s="285"/>
      <c r="D62" s="534"/>
      <c r="E62" s="535"/>
      <c r="F62" s="25"/>
      <c r="G62" s="294"/>
      <c r="H62" s="25"/>
      <c r="I62" s="25"/>
      <c r="J62" s="25"/>
      <c r="K62" s="25"/>
      <c r="L62" s="271"/>
      <c r="M62" s="271"/>
      <c r="N62" s="345"/>
      <c r="O62" s="288"/>
      <c r="P62" s="297"/>
      <c r="Q62" s="307"/>
    </row>
    <row r="63" spans="2:17" s="286" customFormat="1" ht="15.75" customHeight="1">
      <c r="B63" s="267"/>
      <c r="C63" s="285"/>
      <c r="D63" s="381"/>
      <c r="E63" s="382"/>
      <c r="F63" s="25"/>
      <c r="G63" s="294"/>
      <c r="H63" s="25"/>
      <c r="I63" s="25"/>
      <c r="J63" s="25"/>
      <c r="K63" s="25"/>
      <c r="L63" s="271"/>
      <c r="M63" s="271"/>
      <c r="N63" s="345"/>
      <c r="O63" s="288"/>
      <c r="P63" s="297"/>
      <c r="Q63" s="307"/>
    </row>
    <row r="64" spans="2:16" ht="15.75" customHeight="1">
      <c r="B64" s="267"/>
      <c r="C64" s="285"/>
      <c r="D64" s="526" t="s">
        <v>451</v>
      </c>
      <c r="E64" s="527"/>
      <c r="F64" s="270"/>
      <c r="G64" s="309"/>
      <c r="H64" s="304"/>
      <c r="I64" s="304"/>
      <c r="J64" s="304"/>
      <c r="K64" s="304"/>
      <c r="L64" s="305"/>
      <c r="M64" s="271"/>
      <c r="N64" s="347"/>
      <c r="O64" s="295"/>
      <c r="P64" s="291"/>
    </row>
    <row r="65" spans="2:16" ht="15.75" customHeight="1">
      <c r="B65" s="267"/>
      <c r="C65" s="285"/>
      <c r="D65" s="512" t="s">
        <v>435</v>
      </c>
      <c r="E65" s="513"/>
      <c r="F65" s="25"/>
      <c r="G65" s="293"/>
      <c r="H65" s="293">
        <v>0</v>
      </c>
      <c r="I65" s="293">
        <v>0</v>
      </c>
      <c r="J65" s="293">
        <v>0</v>
      </c>
      <c r="K65" s="293">
        <v>0</v>
      </c>
      <c r="L65" s="293">
        <v>0</v>
      </c>
      <c r="M65" s="361"/>
      <c r="N65" s="363"/>
      <c r="O65" s="288"/>
      <c r="P65" s="306"/>
    </row>
    <row r="66" spans="2:16" ht="15.75" customHeight="1">
      <c r="B66" s="267"/>
      <c r="C66" s="285"/>
      <c r="D66" s="512" t="s">
        <v>436</v>
      </c>
      <c r="E66" s="513"/>
      <c r="F66" s="25"/>
      <c r="G66" s="293">
        <f>'3. Staffing Plan'!H33</f>
        <v>104275</v>
      </c>
      <c r="H66" s="293">
        <f>'3. Staffing Plan'!L33</f>
        <v>107403.25</v>
      </c>
      <c r="I66" s="293">
        <f>'3. Staffing Plan'!P33</f>
        <v>110625.3475</v>
      </c>
      <c r="J66" s="293">
        <f>'3. Staffing Plan'!T33</f>
        <v>113944.107925</v>
      </c>
      <c r="K66" s="293">
        <f>'3. Staffing Plan'!X33</f>
        <v>117362.43116275001</v>
      </c>
      <c r="L66" s="293">
        <f>'3. Staffing Plan'!AB33</f>
        <v>120883.30409763251</v>
      </c>
      <c r="M66" s="361"/>
      <c r="N66" s="363"/>
      <c r="O66" s="288"/>
      <c r="P66" s="306"/>
    </row>
    <row r="67" spans="2:16" ht="15.75" customHeight="1">
      <c r="B67" s="267"/>
      <c r="C67" s="285"/>
      <c r="D67" s="512" t="s">
        <v>506</v>
      </c>
      <c r="E67" s="513"/>
      <c r="F67" s="25"/>
      <c r="G67" s="293">
        <f>'3. Staffing Plan'!H34</f>
        <v>43544</v>
      </c>
      <c r="H67" s="293">
        <f>'3. Staffing Plan'!L34</f>
        <v>44850.32</v>
      </c>
      <c r="I67" s="293">
        <f>'3. Staffing Plan'!P34</f>
        <v>46195.8296</v>
      </c>
      <c r="J67" s="293">
        <f>'3. Staffing Plan'!T34</f>
        <v>47581.704487999996</v>
      </c>
      <c r="K67" s="293">
        <f>'3. Staffing Plan'!X34</f>
        <v>49009.15562264</v>
      </c>
      <c r="L67" s="293">
        <f>'3. Staffing Plan'!AB34</f>
        <v>50479.4302913192</v>
      </c>
      <c r="M67" s="361"/>
      <c r="N67" s="363"/>
      <c r="O67" s="288"/>
      <c r="P67" s="306"/>
    </row>
    <row r="68" spans="2:16" ht="15.75" customHeight="1">
      <c r="B68" s="267"/>
      <c r="C68" s="285"/>
      <c r="D68" s="512" t="s">
        <v>24</v>
      </c>
      <c r="E68" s="513"/>
      <c r="F68" s="25"/>
      <c r="G68" s="293"/>
      <c r="H68" s="293">
        <v>0</v>
      </c>
      <c r="I68" s="293">
        <v>0</v>
      </c>
      <c r="J68" s="293">
        <v>0</v>
      </c>
      <c r="K68" s="293">
        <v>0</v>
      </c>
      <c r="L68" s="293">
        <v>0</v>
      </c>
      <c r="M68" s="361"/>
      <c r="N68" s="363"/>
      <c r="O68" s="288"/>
      <c r="P68" s="297"/>
    </row>
    <row r="69" spans="2:16" ht="15.75" customHeight="1">
      <c r="B69" s="267"/>
      <c r="C69" s="285"/>
      <c r="D69" s="375"/>
      <c r="E69" s="376"/>
      <c r="F69" s="25"/>
      <c r="G69" s="22"/>
      <c r="H69" s="22"/>
      <c r="I69" s="22"/>
      <c r="J69" s="22"/>
      <c r="K69" s="22"/>
      <c r="L69" s="287"/>
      <c r="M69" s="271"/>
      <c r="N69" s="347"/>
      <c r="O69" s="288"/>
      <c r="P69" s="297"/>
    </row>
    <row r="70" spans="2:16" ht="15.75" customHeight="1">
      <c r="B70" s="267"/>
      <c r="C70" s="285"/>
      <c r="D70" s="514" t="s">
        <v>25</v>
      </c>
      <c r="E70" s="515"/>
      <c r="F70" s="26"/>
      <c r="G70" s="298">
        <f aca="true" t="shared" si="5" ref="G70:L70">SUM(G65:G68)</f>
        <v>147819</v>
      </c>
      <c r="H70" s="298">
        <f t="shared" si="5"/>
        <v>152253.57</v>
      </c>
      <c r="I70" s="298">
        <f t="shared" si="5"/>
        <v>156821.1771</v>
      </c>
      <c r="J70" s="298">
        <f t="shared" si="5"/>
        <v>161525.812413</v>
      </c>
      <c r="K70" s="298">
        <f t="shared" si="5"/>
        <v>166371.58678539</v>
      </c>
      <c r="L70" s="298">
        <f t="shared" si="5"/>
        <v>171362.7343889517</v>
      </c>
      <c r="M70" s="355"/>
      <c r="N70" s="363"/>
      <c r="O70" s="288"/>
      <c r="P70" s="297"/>
    </row>
    <row r="71" spans="2:16" ht="15.75" customHeight="1">
      <c r="B71" s="267"/>
      <c r="C71" s="285"/>
      <c r="D71" s="377"/>
      <c r="E71" s="378"/>
      <c r="F71" s="270"/>
      <c r="G71" s="309"/>
      <c r="H71" s="23"/>
      <c r="I71" s="23"/>
      <c r="J71" s="23"/>
      <c r="K71" s="23"/>
      <c r="L71" s="300"/>
      <c r="M71" s="271"/>
      <c r="N71" s="347"/>
      <c r="O71" s="288"/>
      <c r="P71" s="297"/>
    </row>
    <row r="72" spans="2:17" ht="15.75" customHeight="1">
      <c r="B72" s="267"/>
      <c r="C72" s="285"/>
      <c r="D72" s="526" t="s">
        <v>437</v>
      </c>
      <c r="E72" s="527"/>
      <c r="F72" s="270"/>
      <c r="G72" s="309"/>
      <c r="H72" s="304"/>
      <c r="I72" s="304"/>
      <c r="J72" s="304"/>
      <c r="K72" s="304"/>
      <c r="L72" s="305"/>
      <c r="M72" s="271"/>
      <c r="N72" s="277"/>
      <c r="O72" s="310"/>
      <c r="P72" s="306"/>
      <c r="Q72" s="311"/>
    </row>
    <row r="73" spans="2:16" ht="15.75" customHeight="1">
      <c r="B73" s="267"/>
      <c r="C73" s="285"/>
      <c r="D73" s="512" t="s">
        <v>438</v>
      </c>
      <c r="E73" s="513"/>
      <c r="F73" s="25"/>
      <c r="G73" s="293">
        <f>'3. Staffing Plan'!H15</f>
        <v>422720</v>
      </c>
      <c r="H73" s="293">
        <f>'3. Staffing Plan'!L15</f>
        <v>435401.60000000003</v>
      </c>
      <c r="I73" s="293">
        <f>'3. Staffing Plan'!P15</f>
        <v>448463.64800000004</v>
      </c>
      <c r="J73" s="293">
        <f>'3. Staffing Plan'!T15</f>
        <v>461917.55744</v>
      </c>
      <c r="K73" s="293">
        <f>'3. Staffing Plan'!X15</f>
        <v>475775.0841632001</v>
      </c>
      <c r="L73" s="293">
        <f>'3. Staffing Plan'!AB15</f>
        <v>490048.33668809605</v>
      </c>
      <c r="M73" s="361"/>
      <c r="N73" s="363"/>
      <c r="O73" s="288"/>
      <c r="P73" s="306"/>
    </row>
    <row r="74" spans="2:16" ht="15.75" customHeight="1">
      <c r="B74" s="267"/>
      <c r="C74" s="285"/>
      <c r="D74" s="512" t="s">
        <v>26</v>
      </c>
      <c r="E74" s="513"/>
      <c r="F74" s="25"/>
      <c r="G74" s="293">
        <f>'3. Staffing Plan'!H16</f>
        <v>70000</v>
      </c>
      <c r="H74" s="293">
        <f>'3. Staffing Plan'!L16</f>
        <v>72100</v>
      </c>
      <c r="I74" s="293">
        <f>'3. Staffing Plan'!P16</f>
        <v>74263</v>
      </c>
      <c r="J74" s="293">
        <f>'3. Staffing Plan'!T16</f>
        <v>76490.89</v>
      </c>
      <c r="K74" s="293">
        <f>'3. Staffing Plan'!X16</f>
        <v>78785.6167</v>
      </c>
      <c r="L74" s="293">
        <f>'3. Staffing Plan'!AB16</f>
        <v>81149.185201</v>
      </c>
      <c r="M74" s="361"/>
      <c r="N74" s="363"/>
      <c r="O74" s="288"/>
      <c r="P74" s="297"/>
    </row>
    <row r="75" spans="2:16" ht="15.75" customHeight="1">
      <c r="B75" s="267"/>
      <c r="C75" s="285"/>
      <c r="D75" s="512" t="s">
        <v>27</v>
      </c>
      <c r="E75" s="513"/>
      <c r="F75" s="25"/>
      <c r="G75" s="293">
        <f>'3. Staffing Plan'!H17</f>
        <v>110060</v>
      </c>
      <c r="H75" s="293">
        <f>'3. Staffing Plan'!L17</f>
        <v>37787.26666666666</v>
      </c>
      <c r="I75" s="293">
        <f>'3. Staffing Plan'!P17</f>
        <v>38920.884666666665</v>
      </c>
      <c r="J75" s="293">
        <f>'3. Staffing Plan'!T17</f>
        <v>40088.51120666666</v>
      </c>
      <c r="K75" s="293">
        <f>'3. Staffing Plan'!X17</f>
        <v>82582.33308573332</v>
      </c>
      <c r="L75" s="293">
        <f>'3. Staffing Plan'!AB17</f>
        <v>85059.80307830533</v>
      </c>
      <c r="M75" s="361"/>
      <c r="N75" s="363"/>
      <c r="O75" s="288"/>
      <c r="P75" s="297"/>
    </row>
    <row r="76" spans="2:16" ht="15.75" customHeight="1">
      <c r="B76" s="267"/>
      <c r="C76" s="285"/>
      <c r="D76" s="512" t="s">
        <v>28</v>
      </c>
      <c r="E76" s="513"/>
      <c r="F76" s="25"/>
      <c r="G76" s="293"/>
      <c r="H76" s="293">
        <v>0</v>
      </c>
      <c r="I76" s="293">
        <v>0</v>
      </c>
      <c r="J76" s="293">
        <v>0</v>
      </c>
      <c r="K76" s="293">
        <v>0</v>
      </c>
      <c r="L76" s="293">
        <v>0</v>
      </c>
      <c r="M76" s="361"/>
      <c r="N76" s="363"/>
      <c r="O76" s="288"/>
      <c r="P76" s="297"/>
    </row>
    <row r="77" spans="2:16" ht="15.75" customHeight="1">
      <c r="B77" s="267"/>
      <c r="C77" s="285"/>
      <c r="D77" s="375"/>
      <c r="E77" s="376"/>
      <c r="F77" s="25"/>
      <c r="G77" s="22"/>
      <c r="H77" s="22"/>
      <c r="I77" s="22"/>
      <c r="J77" s="22"/>
      <c r="K77" s="22"/>
      <c r="L77" s="287"/>
      <c r="M77" s="271"/>
      <c r="N77" s="347"/>
      <c r="O77" s="288"/>
      <c r="P77" s="297"/>
    </row>
    <row r="78" spans="2:16" ht="15.75" customHeight="1">
      <c r="B78" s="267"/>
      <c r="C78" s="285"/>
      <c r="D78" s="514" t="s">
        <v>29</v>
      </c>
      <c r="E78" s="515"/>
      <c r="F78" s="26"/>
      <c r="G78" s="312">
        <f aca="true" t="shared" si="6" ref="G78:L78">SUM(G73:G76)</f>
        <v>602780</v>
      </c>
      <c r="H78" s="312">
        <f t="shared" si="6"/>
        <v>545288.8666666667</v>
      </c>
      <c r="I78" s="312">
        <f t="shared" si="6"/>
        <v>561647.5326666667</v>
      </c>
      <c r="J78" s="312">
        <f t="shared" si="6"/>
        <v>578496.9586466667</v>
      </c>
      <c r="K78" s="312">
        <f t="shared" si="6"/>
        <v>637143.0339489335</v>
      </c>
      <c r="L78" s="312">
        <f t="shared" si="6"/>
        <v>656257.3249674013</v>
      </c>
      <c r="M78" s="356"/>
      <c r="N78" s="363"/>
      <c r="O78" s="288"/>
      <c r="P78" s="297"/>
    </row>
    <row r="79" spans="2:17" s="286" customFormat="1" ht="15.75" customHeight="1">
      <c r="B79" s="267"/>
      <c r="C79" s="285"/>
      <c r="D79" s="375"/>
      <c r="E79" s="376"/>
      <c r="F79" s="25"/>
      <c r="G79" s="294"/>
      <c r="H79" s="23"/>
      <c r="I79" s="23"/>
      <c r="J79" s="23"/>
      <c r="K79" s="23"/>
      <c r="L79" s="300"/>
      <c r="M79" s="271"/>
      <c r="N79" s="347"/>
      <c r="O79" s="288"/>
      <c r="P79" s="297"/>
      <c r="Q79" s="307"/>
    </row>
    <row r="80" spans="2:17" s="286" customFormat="1" ht="15.75" customHeight="1">
      <c r="B80" s="267"/>
      <c r="C80" s="285"/>
      <c r="D80" s="526" t="s">
        <v>30</v>
      </c>
      <c r="E80" s="527"/>
      <c r="F80" s="270"/>
      <c r="G80" s="309"/>
      <c r="H80" s="304"/>
      <c r="I80" s="304"/>
      <c r="J80" s="304"/>
      <c r="K80" s="304"/>
      <c r="L80" s="305"/>
      <c r="M80" s="271"/>
      <c r="N80" s="365" t="s">
        <v>497</v>
      </c>
      <c r="O80" s="288"/>
      <c r="P80" s="297"/>
      <c r="Q80" s="307"/>
    </row>
    <row r="81" spans="2:16" ht="15.75" customHeight="1">
      <c r="B81" s="267"/>
      <c r="C81" s="285"/>
      <c r="D81" s="512" t="s">
        <v>439</v>
      </c>
      <c r="E81" s="513"/>
      <c r="F81" s="25"/>
      <c r="G81" s="293"/>
      <c r="H81" s="293">
        <v>0</v>
      </c>
      <c r="I81" s="293">
        <v>0</v>
      </c>
      <c r="J81" s="293">
        <v>0</v>
      </c>
      <c r="K81" s="293">
        <v>0</v>
      </c>
      <c r="L81" s="293">
        <v>0</v>
      </c>
      <c r="M81" s="361"/>
      <c r="N81" s="560"/>
      <c r="O81" s="288"/>
      <c r="P81" s="291"/>
    </row>
    <row r="82" spans="2:16" ht="15.75" customHeight="1">
      <c r="B82" s="267"/>
      <c r="C82" s="285"/>
      <c r="D82" s="512" t="s">
        <v>440</v>
      </c>
      <c r="E82" s="513"/>
      <c r="F82" s="25"/>
      <c r="G82" s="293"/>
      <c r="H82" s="293">
        <v>0</v>
      </c>
      <c r="I82" s="293">
        <v>0</v>
      </c>
      <c r="J82" s="293">
        <v>0</v>
      </c>
      <c r="K82" s="293">
        <v>0</v>
      </c>
      <c r="L82" s="293">
        <v>0</v>
      </c>
      <c r="M82" s="361"/>
      <c r="N82" s="561"/>
      <c r="O82" s="288"/>
      <c r="P82" s="297"/>
    </row>
    <row r="83" spans="2:16" ht="15.75" customHeight="1">
      <c r="B83" s="267"/>
      <c r="C83" s="285"/>
      <c r="D83" s="512" t="s">
        <v>441</v>
      </c>
      <c r="E83" s="513"/>
      <c r="F83" s="25"/>
      <c r="G83" s="293"/>
      <c r="H83" s="293">
        <v>0</v>
      </c>
      <c r="I83" s="293">
        <v>0</v>
      </c>
      <c r="J83" s="293">
        <v>0</v>
      </c>
      <c r="K83" s="293">
        <v>0</v>
      </c>
      <c r="L83" s="293">
        <v>0</v>
      </c>
      <c r="M83" s="361"/>
      <c r="N83" s="561"/>
      <c r="O83" s="313"/>
      <c r="P83" s="297"/>
    </row>
    <row r="84" spans="2:16" ht="15.75" customHeight="1">
      <c r="B84" s="267"/>
      <c r="C84" s="285"/>
      <c r="D84" s="512" t="s">
        <v>442</v>
      </c>
      <c r="E84" s="513"/>
      <c r="F84" s="25"/>
      <c r="G84" s="293"/>
      <c r="H84" s="293">
        <v>0</v>
      </c>
      <c r="I84" s="293">
        <v>0</v>
      </c>
      <c r="J84" s="293">
        <v>0</v>
      </c>
      <c r="K84" s="293">
        <v>0</v>
      </c>
      <c r="L84" s="293">
        <v>0</v>
      </c>
      <c r="M84" s="361"/>
      <c r="N84" s="561"/>
      <c r="O84" s="313"/>
      <c r="P84" s="306"/>
    </row>
    <row r="85" spans="2:16" ht="15.75" customHeight="1">
      <c r="B85" s="267"/>
      <c r="C85" s="285"/>
      <c r="D85" s="512" t="s">
        <v>31</v>
      </c>
      <c r="E85" s="513"/>
      <c r="F85" s="25"/>
      <c r="G85" s="293"/>
      <c r="H85" s="293">
        <v>0</v>
      </c>
      <c r="I85" s="293">
        <v>0</v>
      </c>
      <c r="J85" s="293">
        <v>0</v>
      </c>
      <c r="K85" s="293">
        <v>0</v>
      </c>
      <c r="L85" s="293">
        <v>0</v>
      </c>
      <c r="M85" s="361"/>
      <c r="N85" s="561"/>
      <c r="O85" s="288"/>
      <c r="P85" s="306"/>
    </row>
    <row r="86" spans="2:16" ht="15.75" customHeight="1">
      <c r="B86" s="267"/>
      <c r="C86" s="285"/>
      <c r="D86" s="512" t="s">
        <v>443</v>
      </c>
      <c r="E86" s="513"/>
      <c r="F86" s="25"/>
      <c r="G86" s="293"/>
      <c r="H86" s="293"/>
      <c r="I86" s="293"/>
      <c r="J86" s="293"/>
      <c r="K86" s="293"/>
      <c r="L86" s="293"/>
      <c r="M86" s="361"/>
      <c r="N86" s="561"/>
      <c r="O86" s="288"/>
      <c r="P86" s="297"/>
    </row>
    <row r="87" spans="2:16" ht="15.75" customHeight="1">
      <c r="B87" s="267"/>
      <c r="C87" s="285"/>
      <c r="D87" s="512" t="s">
        <v>444</v>
      </c>
      <c r="E87" s="513"/>
      <c r="F87" s="25"/>
      <c r="G87" s="293">
        <f>'3. Staffing Plan'!H35</f>
        <v>28922</v>
      </c>
      <c r="H87" s="293">
        <f>'3. Staffing Plan'!L35</f>
        <v>29789.66</v>
      </c>
      <c r="I87" s="293">
        <f>'3. Staffing Plan'!P35</f>
        <v>30683.3498</v>
      </c>
      <c r="J87" s="293">
        <f>'3. Staffing Plan'!T35</f>
        <v>31603.850294</v>
      </c>
      <c r="K87" s="293">
        <f>'3. Staffing Plan'!X35</f>
        <v>32551.96580282</v>
      </c>
      <c r="L87" s="293">
        <f>'3. Staffing Plan'!AB35</f>
        <v>33528.524776904604</v>
      </c>
      <c r="M87" s="361"/>
      <c r="N87" s="561"/>
      <c r="O87" s="288"/>
      <c r="P87" s="297"/>
    </row>
    <row r="88" spans="2:16" ht="15.75" customHeight="1">
      <c r="B88" s="267"/>
      <c r="C88" s="285"/>
      <c r="D88" s="512" t="s">
        <v>445</v>
      </c>
      <c r="E88" s="513"/>
      <c r="F88" s="25"/>
      <c r="G88" s="293"/>
      <c r="H88" s="293">
        <v>0</v>
      </c>
      <c r="I88" s="293">
        <v>0</v>
      </c>
      <c r="J88" s="293">
        <v>0</v>
      </c>
      <c r="K88" s="293">
        <v>0</v>
      </c>
      <c r="L88" s="293">
        <v>0</v>
      </c>
      <c r="M88" s="361"/>
      <c r="N88" s="561"/>
      <c r="O88" s="288"/>
      <c r="P88" s="297"/>
    </row>
    <row r="89" spans="2:16" ht="15.75" customHeight="1">
      <c r="B89" s="267"/>
      <c r="C89" s="285"/>
      <c r="D89" s="512" t="s">
        <v>32</v>
      </c>
      <c r="E89" s="513"/>
      <c r="F89" s="25"/>
      <c r="G89" s="293"/>
      <c r="H89" s="293">
        <v>0</v>
      </c>
      <c r="I89" s="293">
        <v>0</v>
      </c>
      <c r="J89" s="293">
        <v>0</v>
      </c>
      <c r="K89" s="293">
        <v>0</v>
      </c>
      <c r="L89" s="293">
        <v>0</v>
      </c>
      <c r="M89" s="361"/>
      <c r="N89" s="561"/>
      <c r="O89" s="288"/>
      <c r="P89" s="297"/>
    </row>
    <row r="90" spans="2:16" ht="15.75" customHeight="1">
      <c r="B90" s="267"/>
      <c r="C90" s="285"/>
      <c r="D90" s="375"/>
      <c r="E90" s="376"/>
      <c r="F90" s="25"/>
      <c r="G90" s="294"/>
      <c r="H90" s="22"/>
      <c r="I90" s="22"/>
      <c r="J90" s="22"/>
      <c r="K90" s="22"/>
      <c r="L90" s="287"/>
      <c r="M90" s="271"/>
      <c r="N90" s="561"/>
      <c r="O90" s="288"/>
      <c r="P90" s="297"/>
    </row>
    <row r="91" spans="2:17" s="286" customFormat="1" ht="15.75" customHeight="1">
      <c r="B91" s="267"/>
      <c r="C91" s="285"/>
      <c r="D91" s="514" t="s">
        <v>33</v>
      </c>
      <c r="E91" s="515"/>
      <c r="F91" s="26"/>
      <c r="G91" s="312">
        <f aca="true" t="shared" si="7" ref="G91:L91">SUM(G81:G89)</f>
        <v>28922</v>
      </c>
      <c r="H91" s="312">
        <f t="shared" si="7"/>
        <v>29789.66</v>
      </c>
      <c r="I91" s="312">
        <f t="shared" si="7"/>
        <v>30683.3498</v>
      </c>
      <c r="J91" s="312">
        <f t="shared" si="7"/>
        <v>31603.850294</v>
      </c>
      <c r="K91" s="312">
        <f t="shared" si="7"/>
        <v>32551.96580282</v>
      </c>
      <c r="L91" s="312">
        <f t="shared" si="7"/>
        <v>33528.524776904604</v>
      </c>
      <c r="M91" s="356"/>
      <c r="N91" s="562"/>
      <c r="O91" s="288"/>
      <c r="P91" s="297"/>
      <c r="Q91" s="307"/>
    </row>
    <row r="92" spans="2:17" s="286" customFormat="1" ht="15.75" customHeight="1">
      <c r="B92" s="267"/>
      <c r="C92" s="285"/>
      <c r="D92" s="375"/>
      <c r="E92" s="376"/>
      <c r="F92" s="25"/>
      <c r="G92" s="22"/>
      <c r="H92" s="22"/>
      <c r="I92" s="22"/>
      <c r="J92" s="22"/>
      <c r="K92" s="22"/>
      <c r="L92" s="22"/>
      <c r="M92" s="25"/>
      <c r="N92" s="347"/>
      <c r="O92" s="288"/>
      <c r="P92" s="297"/>
      <c r="Q92" s="307"/>
    </row>
    <row r="93" spans="2:16" ht="15.75" customHeight="1">
      <c r="B93" s="267"/>
      <c r="C93" s="285"/>
      <c r="D93" s="514" t="s">
        <v>34</v>
      </c>
      <c r="E93" s="515"/>
      <c r="F93" s="26"/>
      <c r="G93" s="298">
        <f aca="true" t="shared" si="8" ref="G93:L93">G70+G78+G91</f>
        <v>779521</v>
      </c>
      <c r="H93" s="298">
        <f t="shared" si="8"/>
        <v>727332.0966666668</v>
      </c>
      <c r="I93" s="298">
        <f t="shared" si="8"/>
        <v>749152.0595666666</v>
      </c>
      <c r="J93" s="298">
        <f t="shared" si="8"/>
        <v>771626.6213536668</v>
      </c>
      <c r="K93" s="298">
        <f t="shared" si="8"/>
        <v>836066.5865371436</v>
      </c>
      <c r="L93" s="298">
        <f t="shared" si="8"/>
        <v>861148.5841332576</v>
      </c>
      <c r="M93" s="355"/>
      <c r="N93" s="363" t="s">
        <v>2</v>
      </c>
      <c r="O93" s="288"/>
      <c r="P93" s="291"/>
    </row>
    <row r="94" spans="2:16" ht="15.75" customHeight="1">
      <c r="B94" s="267"/>
      <c r="C94" s="285"/>
      <c r="D94" s="375"/>
      <c r="E94" s="376"/>
      <c r="F94" s="25"/>
      <c r="G94" s="315">
        <f>IF((ROUND(G93,2)=ROUND('3. Staffing Plan'!H64,2)),"","ERROR")</f>
      </c>
      <c r="H94" s="315">
        <f>IF((ROUND(H93,2)=ROUND('3. Staffing Plan'!L64,2)),"","ERROR")</f>
      </c>
      <c r="I94" s="315">
        <f>IF((ROUND(I93,2)=ROUND('3. Staffing Plan'!P64,2)),"","ERROR")</f>
      </c>
      <c r="J94" s="315">
        <f>IF((ROUND(J93,2)=ROUND('3. Staffing Plan'!T64,2)),"","ERROR")</f>
      </c>
      <c r="K94" s="315">
        <f>IF((ROUND(K93,2)=ROUND('3. Staffing Plan'!X64,2)),"","ERROR")</f>
      </c>
      <c r="L94" s="315">
        <f>IF((ROUND(L93,2)=ROUND('3. Staffing Plan'!AB64,2)),"","ERROR")</f>
      </c>
      <c r="M94" s="314"/>
      <c r="N94" s="347">
        <f>IF(COUNTIF(G94:L94,"ERROR"),"Tab 3 and Tab 4 Values do not match.","")</f>
      </c>
      <c r="O94" s="288"/>
      <c r="P94" s="316"/>
    </row>
    <row r="95" spans="2:16" ht="15.75" customHeight="1">
      <c r="B95" s="267"/>
      <c r="C95" s="285"/>
      <c r="D95" s="526" t="s">
        <v>406</v>
      </c>
      <c r="E95" s="527"/>
      <c r="F95" s="270"/>
      <c r="G95" s="309"/>
      <c r="H95" s="304"/>
      <c r="I95" s="304"/>
      <c r="J95" s="304"/>
      <c r="K95" s="304"/>
      <c r="L95" s="305"/>
      <c r="M95" s="271"/>
      <c r="N95" s="362" t="s">
        <v>499</v>
      </c>
      <c r="O95" s="288"/>
      <c r="P95" s="306"/>
    </row>
    <row r="96" spans="2:16" ht="15.75" customHeight="1">
      <c r="B96" s="267"/>
      <c r="C96" s="285"/>
      <c r="D96" s="512" t="s">
        <v>405</v>
      </c>
      <c r="E96" s="513"/>
      <c r="F96" s="25"/>
      <c r="G96" s="290">
        <f>'3. Staffing Plan'!H54+'3. Staffing Plan'!H55+'3. Staffing Plan'!H56</f>
        <v>79121.38149999999</v>
      </c>
      <c r="H96" s="290">
        <f>'3. Staffing Plan'!L54+'3. Staffing Plan'!L55+'3. Staffing Plan'!L56</f>
        <v>73824.20781166667</v>
      </c>
      <c r="I96" s="290">
        <f>'3. Staffing Plan'!P54+'3. Staffing Plan'!P55+'3. Staffing Plan'!P56</f>
        <v>76038.93404601666</v>
      </c>
      <c r="J96" s="290">
        <f>'3. Staffing Plan'!T54+'3. Staffing Plan'!T55+'3. Staffing Plan'!T56</f>
        <v>78320.10206739718</v>
      </c>
      <c r="K96" s="290">
        <f>'3. Staffing Plan'!X54+'3. Staffing Plan'!X55+'3. Staffing Plan'!X56</f>
        <v>84860.75853352007</v>
      </c>
      <c r="L96" s="290">
        <f>'3. Staffing Plan'!AB54+'3. Staffing Plan'!AB55+'3. Staffing Plan'!AB56</f>
        <v>87406.58128952564</v>
      </c>
      <c r="M96" s="354"/>
      <c r="N96" s="560"/>
      <c r="O96" s="288"/>
      <c r="P96" s="306"/>
    </row>
    <row r="97" spans="2:16" ht="15.75" customHeight="1">
      <c r="B97" s="267"/>
      <c r="C97" s="285"/>
      <c r="D97" s="512" t="s">
        <v>404</v>
      </c>
      <c r="E97" s="513"/>
      <c r="F97" s="25"/>
      <c r="G97" s="290">
        <f>'3. Staffing Plan'!H52</f>
        <v>115739.85999999999</v>
      </c>
      <c r="H97" s="290">
        <f>'3. Staffing Plan'!L52</f>
        <v>102181.76211428571</v>
      </c>
      <c r="I97" s="290">
        <f>'3. Staffing Plan'!P52</f>
        <v>105247.21497771429</v>
      </c>
      <c r="J97" s="290">
        <f>'3. Staffing Plan'!T52</f>
        <v>108404.63142704572</v>
      </c>
      <c r="K97" s="290">
        <f>'3. Staffing Plan'!X52</f>
        <v>120961.50123401187</v>
      </c>
      <c r="L97" s="290">
        <f>'3. Staffing Plan'!AB52</f>
        <v>124590.34627103222</v>
      </c>
      <c r="M97" s="354"/>
      <c r="N97" s="561"/>
      <c r="O97" s="288"/>
      <c r="P97" s="297"/>
    </row>
    <row r="98" spans="2:16" ht="15.75" customHeight="1">
      <c r="B98" s="267"/>
      <c r="C98" s="285"/>
      <c r="D98" s="512" t="s">
        <v>403</v>
      </c>
      <c r="E98" s="513"/>
      <c r="F98" s="25"/>
      <c r="G98" s="290">
        <f>'3. Staffing Plan'!H53</f>
        <v>35566.97</v>
      </c>
      <c r="H98" s="290">
        <f>'3. Staffing Plan'!L53</f>
        <v>31400.55351428572</v>
      </c>
      <c r="I98" s="290">
        <f>'3. Staffing Plan'!P53</f>
        <v>32342.57011971429</v>
      </c>
      <c r="J98" s="290">
        <f>'3. Staffing Plan'!T53</f>
        <v>33312.847223305725</v>
      </c>
      <c r="K98" s="290">
        <f>'3. Staffing Plan'!X53</f>
        <v>37171.58536000531</v>
      </c>
      <c r="L98" s="290">
        <f>'3. Staffing Plan'!AB53</f>
        <v>38286.732920805465</v>
      </c>
      <c r="M98" s="354"/>
      <c r="N98" s="561"/>
      <c r="O98" s="288"/>
      <c r="P98" s="297"/>
    </row>
    <row r="99" spans="2:16" ht="15.75" customHeight="1">
      <c r="B99" s="267"/>
      <c r="C99" s="285"/>
      <c r="D99" s="512" t="s">
        <v>498</v>
      </c>
      <c r="E99" s="513"/>
      <c r="F99" s="25"/>
      <c r="G99" s="290">
        <f>'3. Staffing Plan'!H58</f>
        <v>0</v>
      </c>
      <c r="H99" s="290">
        <f>'3. Staffing Plan'!L58</f>
        <v>0</v>
      </c>
      <c r="I99" s="290">
        <f>'3. Staffing Plan'!P58</f>
        <v>0</v>
      </c>
      <c r="J99" s="290">
        <f>'3. Staffing Plan'!T58</f>
        <v>0</v>
      </c>
      <c r="K99" s="290">
        <f>'3. Staffing Plan'!X58</f>
        <v>0</v>
      </c>
      <c r="L99" s="290">
        <f>'3. Staffing Plan'!AB58</f>
        <v>0</v>
      </c>
      <c r="M99" s="354"/>
      <c r="N99" s="561"/>
      <c r="O99" s="288"/>
      <c r="P99" s="297"/>
    </row>
    <row r="100" spans="2:16" ht="15.75" customHeight="1">
      <c r="B100" s="267"/>
      <c r="C100" s="285"/>
      <c r="D100" s="375"/>
      <c r="E100" s="376"/>
      <c r="F100" s="25"/>
      <c r="G100" s="317"/>
      <c r="H100" s="22"/>
      <c r="I100" s="22"/>
      <c r="J100" s="22"/>
      <c r="K100" s="22"/>
      <c r="L100" s="287"/>
      <c r="M100" s="271"/>
      <c r="N100" s="561"/>
      <c r="O100" s="288"/>
      <c r="P100" s="297"/>
    </row>
    <row r="101" spans="2:16" ht="15.75" customHeight="1">
      <c r="B101" s="267"/>
      <c r="C101" s="285"/>
      <c r="D101" s="514" t="s">
        <v>35</v>
      </c>
      <c r="E101" s="515"/>
      <c r="F101" s="24"/>
      <c r="G101" s="312">
        <f aca="true" t="shared" si="9" ref="G101:L101">SUM(G96:G99)</f>
        <v>230428.21149999998</v>
      </c>
      <c r="H101" s="312">
        <f t="shared" si="9"/>
        <v>207406.5234402381</v>
      </c>
      <c r="I101" s="312">
        <f t="shared" si="9"/>
        <v>213628.71914344525</v>
      </c>
      <c r="J101" s="312">
        <f t="shared" si="9"/>
        <v>220037.5807177486</v>
      </c>
      <c r="K101" s="312">
        <f t="shared" si="9"/>
        <v>242993.84512753726</v>
      </c>
      <c r="L101" s="312">
        <f t="shared" si="9"/>
        <v>250283.6604813633</v>
      </c>
      <c r="M101" s="356"/>
      <c r="N101" s="562"/>
      <c r="O101" s="288"/>
      <c r="P101" s="297"/>
    </row>
    <row r="102" spans="2:17" s="286" customFormat="1" ht="15.75" customHeight="1">
      <c r="B102" s="267"/>
      <c r="C102" s="285"/>
      <c r="D102" s="375"/>
      <c r="E102" s="376"/>
      <c r="F102" s="25"/>
      <c r="G102" s="301"/>
      <c r="H102" s="22"/>
      <c r="I102" s="22"/>
      <c r="J102" s="22"/>
      <c r="K102" s="22"/>
      <c r="L102" s="287"/>
      <c r="M102" s="271"/>
      <c r="N102" s="404"/>
      <c r="O102" s="288"/>
      <c r="P102" s="297"/>
      <c r="Q102" s="307"/>
    </row>
    <row r="103" spans="2:17" s="286" customFormat="1" ht="15.75" customHeight="1">
      <c r="B103" s="267"/>
      <c r="C103" s="285"/>
      <c r="D103" s="514" t="s">
        <v>36</v>
      </c>
      <c r="E103" s="515"/>
      <c r="F103" s="24"/>
      <c r="G103" s="312">
        <f aca="true" t="shared" si="10" ref="G103:L103">G93+G101</f>
        <v>1009949.2115</v>
      </c>
      <c r="H103" s="312">
        <f t="shared" si="10"/>
        <v>934738.6201069049</v>
      </c>
      <c r="I103" s="312">
        <f t="shared" si="10"/>
        <v>962780.7787101119</v>
      </c>
      <c r="J103" s="312">
        <f t="shared" si="10"/>
        <v>991664.2020714154</v>
      </c>
      <c r="K103" s="312">
        <f t="shared" si="10"/>
        <v>1079060.4316646808</v>
      </c>
      <c r="L103" s="312">
        <f t="shared" si="10"/>
        <v>1111432.244614621</v>
      </c>
      <c r="M103" s="356"/>
      <c r="N103" s="405"/>
      <c r="O103" s="288"/>
      <c r="P103" s="297"/>
      <c r="Q103" s="307"/>
    </row>
    <row r="104" spans="2:16" ht="15.75" customHeight="1">
      <c r="B104" s="267"/>
      <c r="C104" s="285"/>
      <c r="D104" s="375"/>
      <c r="E104" s="376"/>
      <c r="F104" s="25"/>
      <c r="G104" s="315">
        <f>IF((ROUND(G103,2)=ROUND('3. Staffing Plan'!H66,2)),"","ERROR")</f>
      </c>
      <c r="H104" s="315">
        <f>IF((ROUND(H103,2)=ROUND('3. Staffing Plan'!L66,2)),"","ERROR")</f>
      </c>
      <c r="I104" s="315">
        <f>IF((ROUND(I103,2)=ROUND('3. Staffing Plan'!P66,2)),"","ERROR")</f>
      </c>
      <c r="J104" s="315">
        <f>IF((ROUND(J103,2)=ROUND('3. Staffing Plan'!T66,2)),"","ERROR")</f>
      </c>
      <c r="K104" s="315">
        <f>IF((ROUND(K103,2)=ROUND('3. Staffing Plan'!X66,2)),"","ERROR")</f>
      </c>
      <c r="L104" s="315">
        <f>IF((ROUND(L103,2)=ROUND('3. Staffing Plan'!AB66,2)),"","ERROR")</f>
      </c>
      <c r="M104" s="314"/>
      <c r="N104" s="348">
        <f>IF(COUNTIF(G104:L104,"ERROR"),"Tab 3 and Tab 4 Values do not match.","")</f>
      </c>
      <c r="O104" s="288"/>
      <c r="P104" s="291"/>
    </row>
    <row r="105" spans="2:16" ht="15.75" customHeight="1">
      <c r="B105" s="267"/>
      <c r="C105" s="285"/>
      <c r="D105" s="526" t="s">
        <v>93</v>
      </c>
      <c r="E105" s="527"/>
      <c r="F105" s="270"/>
      <c r="G105" s="373"/>
      <c r="H105" s="516"/>
      <c r="I105" s="517"/>
      <c r="J105" s="517"/>
      <c r="K105" s="517"/>
      <c r="L105" s="517"/>
      <c r="M105" s="276"/>
      <c r="N105" s="1" t="s">
        <v>524</v>
      </c>
      <c r="O105" s="296"/>
      <c r="P105" s="306"/>
    </row>
    <row r="106" spans="2:16" ht="15.75" customHeight="1">
      <c r="B106" s="267"/>
      <c r="C106" s="285"/>
      <c r="D106" s="512" t="s">
        <v>3</v>
      </c>
      <c r="E106" s="513"/>
      <c r="F106" s="369"/>
      <c r="G106" s="293">
        <v>16400.59</v>
      </c>
      <c r="H106" s="293">
        <f>G106/'2. Enrollment Projections'!$E$30*'2. Enrollment Projections'!$F$30*1.03</f>
        <v>18581.86847</v>
      </c>
      <c r="I106" s="293">
        <f>H106/'2. Enrollment Projections'!$F$30*'2. Enrollment Projections'!$G$30*1.03</f>
        <v>20879.263117200004</v>
      </c>
      <c r="J106" s="293">
        <f>I106/'2. Enrollment Projections'!$G$30*'2. Enrollment Projections'!$H$30*1.03</f>
        <v>23297.777761609002</v>
      </c>
      <c r="K106" s="293">
        <f>J106/'2. Enrollment Projections'!$H$30*'2. Enrollment Projections'!$I$30*1.03</f>
        <v>25842.61194787706</v>
      </c>
      <c r="L106" s="293">
        <f>K106/'2. Enrollment Projections'!$I$30*'2. Enrollment Projections'!$J$30*1.25</f>
        <v>34610.641001621065</v>
      </c>
      <c r="M106" s="361"/>
      <c r="N106" s="560" t="s">
        <v>2</v>
      </c>
      <c r="O106" s="288"/>
      <c r="P106" s="306"/>
    </row>
    <row r="107" spans="2:16" ht="15.75" customHeight="1">
      <c r="B107" s="267"/>
      <c r="C107" s="285"/>
      <c r="D107" s="512" t="s">
        <v>37</v>
      </c>
      <c r="E107" s="513"/>
      <c r="F107" s="369"/>
      <c r="G107" s="293"/>
      <c r="H107" s="293">
        <f>G107/'2. Enrollment Projections'!$E$30*'2. Enrollment Projections'!$F$30*1.03</f>
        <v>0</v>
      </c>
      <c r="I107" s="293">
        <f>H107/'2. Enrollment Projections'!$F$30*'2. Enrollment Projections'!$G$30*1.03</f>
        <v>0</v>
      </c>
      <c r="J107" s="293">
        <f>I107/'2. Enrollment Projections'!$G$30*'2. Enrollment Projections'!$H$30*1.03</f>
        <v>0</v>
      </c>
      <c r="K107" s="293">
        <f>J107/'2. Enrollment Projections'!$H$30*'2. Enrollment Projections'!$I$30*1.03</f>
        <v>0</v>
      </c>
      <c r="L107" s="293">
        <f>K107/'2. Enrollment Projections'!$I$30*'2. Enrollment Projections'!$J$30*1.03</f>
        <v>0</v>
      </c>
      <c r="M107" s="361"/>
      <c r="N107" s="564"/>
      <c r="O107" s="288"/>
      <c r="P107" s="306"/>
    </row>
    <row r="108" spans="2:16" ht="15.75" customHeight="1">
      <c r="B108" s="267"/>
      <c r="C108" s="285"/>
      <c r="D108" s="512" t="s">
        <v>452</v>
      </c>
      <c r="E108" s="513"/>
      <c r="F108" s="369"/>
      <c r="G108" s="293">
        <v>65837.28</v>
      </c>
      <c r="H108" s="293">
        <f>G108*0.25</f>
        <v>16459.32</v>
      </c>
      <c r="I108" s="293">
        <f>H108/'2. Enrollment Projections'!$F$30*'2. Enrollment Projections'!$G$30*1.5</f>
        <v>26933.432727272728</v>
      </c>
      <c r="J108" s="293">
        <f>I108/'2. Enrollment Projections'!$G$30*'2. Enrollment Projections'!$H$30*1.03</f>
        <v>30053.22201818182</v>
      </c>
      <c r="K108" s="293">
        <f>J108/'2. Enrollment Projections'!$H$30*'2. Enrollment Projections'!$I$30*1.03</f>
        <v>33335.95857709091</v>
      </c>
      <c r="L108" s="293">
        <f>K108/'2. Enrollment Projections'!$I$30*'2. Enrollment Projections'!$J$30*1.03+25000</f>
        <v>61788.611429718185</v>
      </c>
      <c r="M108" s="361"/>
      <c r="N108" s="564"/>
      <c r="O108" s="288"/>
      <c r="P108" s="306"/>
    </row>
    <row r="109" spans="2:16" ht="15.75" customHeight="1">
      <c r="B109" s="267"/>
      <c r="C109" s="285"/>
      <c r="D109" s="512" t="s">
        <v>38</v>
      </c>
      <c r="E109" s="513"/>
      <c r="F109" s="369"/>
      <c r="G109" s="293"/>
      <c r="H109" s="293">
        <f>G109/'2. Enrollment Projections'!$E$30*'2. Enrollment Projections'!$F$30*1.03</f>
        <v>0</v>
      </c>
      <c r="I109" s="293">
        <f>H109/'2. Enrollment Projections'!$F$30*'2. Enrollment Projections'!$G$30*1.03</f>
        <v>0</v>
      </c>
      <c r="J109" s="293">
        <f>I109/'2. Enrollment Projections'!$G$30*'2. Enrollment Projections'!$H$30*1.03</f>
        <v>0</v>
      </c>
      <c r="K109" s="293">
        <f>J109/'2. Enrollment Projections'!$H$30*'2. Enrollment Projections'!$I$30*1.03</f>
        <v>0</v>
      </c>
      <c r="L109" s="293">
        <f>K109/'2. Enrollment Projections'!$I$30*'2. Enrollment Projections'!$J$30*1.03</f>
        <v>0</v>
      </c>
      <c r="M109" s="361"/>
      <c r="N109" s="564"/>
      <c r="O109" s="288"/>
      <c r="P109" s="306"/>
    </row>
    <row r="110" spans="2:16" ht="15.75" customHeight="1">
      <c r="B110" s="267"/>
      <c r="C110" s="285"/>
      <c r="D110" s="512" t="s">
        <v>39</v>
      </c>
      <c r="E110" s="513"/>
      <c r="F110" s="369"/>
      <c r="G110" s="293"/>
      <c r="H110" s="293">
        <f>G110/'2. Enrollment Projections'!$E$30*'2. Enrollment Projections'!$F$30*1.03</f>
        <v>0</v>
      </c>
      <c r="I110" s="293">
        <f>H110/'2. Enrollment Projections'!$F$30*'2. Enrollment Projections'!$G$30*1.03</f>
        <v>0</v>
      </c>
      <c r="J110" s="293">
        <f>I110/'2. Enrollment Projections'!$G$30*'2. Enrollment Projections'!$H$30*1.03</f>
        <v>0</v>
      </c>
      <c r="K110" s="293">
        <f>J110/'2. Enrollment Projections'!$H$30*'2. Enrollment Projections'!$I$30*1.03</f>
        <v>0</v>
      </c>
      <c r="L110" s="293">
        <f>K110/'2. Enrollment Projections'!$I$30*'2. Enrollment Projections'!$J$30*1.03</f>
        <v>0</v>
      </c>
      <c r="M110" s="361"/>
      <c r="N110" s="564"/>
      <c r="O110" s="288"/>
      <c r="P110" s="297"/>
    </row>
    <row r="111" spans="2:16" ht="15.75" customHeight="1">
      <c r="B111" s="267"/>
      <c r="C111" s="285"/>
      <c r="D111" s="512" t="s">
        <v>12</v>
      </c>
      <c r="E111" s="513"/>
      <c r="F111" s="369"/>
      <c r="G111" s="293">
        <v>5500</v>
      </c>
      <c r="H111" s="293">
        <f>G111/'2. Enrollment Projections'!$E$30*'2. Enrollment Projections'!$F$30*1.03</f>
        <v>6231.5</v>
      </c>
      <c r="I111" s="293">
        <f>H111/'2. Enrollment Projections'!$F$30*'2. Enrollment Projections'!$G$30*1.03</f>
        <v>7001.9400000000005</v>
      </c>
      <c r="J111" s="293">
        <f>I111/'2. Enrollment Projections'!$G$30*'2. Enrollment Projections'!$H$30*1.03</f>
        <v>7812.998050000001</v>
      </c>
      <c r="K111" s="293">
        <f>J111/'2. Enrollment Projections'!$H$30*'2. Enrollment Projections'!$I$30*1.03</f>
        <v>8666.417837000003</v>
      </c>
      <c r="L111" s="293">
        <f>K111/'2. Enrollment Projections'!$I$30*'2. Enrollment Projections'!$J$30*1.03</f>
        <v>9564.011112975004</v>
      </c>
      <c r="M111" s="361"/>
      <c r="N111" s="564"/>
      <c r="O111" s="288"/>
      <c r="P111" s="306"/>
    </row>
    <row r="112" spans="2:16" ht="15.75" customHeight="1">
      <c r="B112" s="267"/>
      <c r="C112" s="285"/>
      <c r="D112" s="512" t="s">
        <v>453</v>
      </c>
      <c r="E112" s="513"/>
      <c r="F112" s="369"/>
      <c r="G112" s="293">
        <v>2500</v>
      </c>
      <c r="H112" s="293">
        <f>G112/'2. Enrollment Projections'!$E$30*'2. Enrollment Projections'!$F$30*1.03</f>
        <v>2832.5</v>
      </c>
      <c r="I112" s="293">
        <f>H112/'2. Enrollment Projections'!$F$30*'2. Enrollment Projections'!$G$30*1.03</f>
        <v>3182.7000000000003</v>
      </c>
      <c r="J112" s="293">
        <f>I112/'2. Enrollment Projections'!$G$30*'2. Enrollment Projections'!$H$30*1.03</f>
        <v>3551.3627500000002</v>
      </c>
      <c r="K112" s="293">
        <f>J112/'2. Enrollment Projections'!$H$30*'2. Enrollment Projections'!$I$30*1.03</f>
        <v>3939.280835</v>
      </c>
      <c r="L112" s="293">
        <f>K112/'2. Enrollment Projections'!$I$30*'2. Enrollment Projections'!$J$30*1.03</f>
        <v>4347.277778625001</v>
      </c>
      <c r="M112" s="361"/>
      <c r="N112" s="564"/>
      <c r="O112" s="288"/>
      <c r="P112" s="306"/>
    </row>
    <row r="113" spans="2:16" ht="15.75" customHeight="1">
      <c r="B113" s="267"/>
      <c r="C113" s="285"/>
      <c r="D113" s="512" t="s">
        <v>525</v>
      </c>
      <c r="E113" s="513"/>
      <c r="F113" s="369"/>
      <c r="G113" s="293">
        <v>37469.27</v>
      </c>
      <c r="H113" s="293">
        <f>G113*0.5</f>
        <v>18734.635</v>
      </c>
      <c r="I113" s="293">
        <f>H113/'2. Enrollment Projections'!$F$30*'2. Enrollment Projections'!$G$30*1.03</f>
        <v>21050.917145454543</v>
      </c>
      <c r="J113" s="293">
        <f>I113/'2. Enrollment Projections'!$G$30*'2. Enrollment Projections'!$H$30*1.03</f>
        <v>23489.315048136363</v>
      </c>
      <c r="K113" s="293">
        <f>J113/'2. Enrollment Projections'!$H$30*'2. Enrollment Projections'!$I$30*1.03</f>
        <v>26055.07099954818</v>
      </c>
      <c r="L113" s="293">
        <f>K113/'2. Enrollment Projections'!$I$30*'2. Enrollment Projections'!$J$30*1.35</f>
        <v>37686.79912434648</v>
      </c>
      <c r="M113" s="361"/>
      <c r="N113" s="564"/>
      <c r="O113" s="288"/>
      <c r="P113" s="306"/>
    </row>
    <row r="114" spans="2:16" ht="15.75" customHeight="1">
      <c r="B114" s="267"/>
      <c r="C114" s="285"/>
      <c r="D114" s="375"/>
      <c r="E114" s="376"/>
      <c r="F114" s="25"/>
      <c r="G114" s="301"/>
      <c r="H114" s="22"/>
      <c r="I114" s="22"/>
      <c r="J114" s="22"/>
      <c r="K114" s="22"/>
      <c r="L114" s="287"/>
      <c r="M114" s="271"/>
      <c r="N114" s="564"/>
      <c r="O114" s="288"/>
      <c r="P114" s="297"/>
    </row>
    <row r="115" spans="2:16" ht="15.75" customHeight="1">
      <c r="B115" s="267"/>
      <c r="C115" s="285"/>
      <c r="D115" s="514" t="s">
        <v>40</v>
      </c>
      <c r="E115" s="515"/>
      <c r="F115" s="24"/>
      <c r="G115" s="312">
        <f aca="true" t="shared" si="11" ref="G115:L115">SUM(G106:G113)</f>
        <v>127707.13999999998</v>
      </c>
      <c r="H115" s="312">
        <f t="shared" si="11"/>
        <v>62839.82347</v>
      </c>
      <c r="I115" s="312">
        <f t="shared" si="11"/>
        <v>79048.25298992728</v>
      </c>
      <c r="J115" s="312">
        <f t="shared" si="11"/>
        <v>88204.67562792718</v>
      </c>
      <c r="K115" s="312">
        <f t="shared" si="11"/>
        <v>97839.34019651616</v>
      </c>
      <c r="L115" s="312">
        <f t="shared" si="11"/>
        <v>147997.34044728574</v>
      </c>
      <c r="M115" s="356"/>
      <c r="N115" s="565"/>
      <c r="O115" s="288"/>
      <c r="P115" s="297"/>
    </row>
    <row r="116" spans="2:17" ht="15.75" customHeight="1">
      <c r="B116" s="267"/>
      <c r="C116" s="285"/>
      <c r="D116" s="375"/>
      <c r="E116" s="376"/>
      <c r="F116" s="25"/>
      <c r="G116" s="303"/>
      <c r="H116" s="23"/>
      <c r="I116" s="23"/>
      <c r="J116" s="23"/>
      <c r="K116" s="23"/>
      <c r="L116" s="300"/>
      <c r="M116" s="271"/>
      <c r="N116" s="345"/>
      <c r="O116" s="288"/>
      <c r="P116" s="297"/>
      <c r="Q116" s="318"/>
    </row>
    <row r="117" spans="2:17" ht="15.75" customHeight="1">
      <c r="B117" s="267"/>
      <c r="C117" s="285"/>
      <c r="D117" s="526" t="s">
        <v>454</v>
      </c>
      <c r="E117" s="527"/>
      <c r="F117" s="270"/>
      <c r="G117" s="373"/>
      <c r="H117" s="330"/>
      <c r="I117" s="27"/>
      <c r="J117" s="27"/>
      <c r="K117" s="27"/>
      <c r="L117" s="27"/>
      <c r="M117" s="25"/>
      <c r="N117" s="366" t="s">
        <v>500</v>
      </c>
      <c r="O117" s="296"/>
      <c r="P117" s="297"/>
      <c r="Q117" s="318"/>
    </row>
    <row r="118" spans="2:16" ht="15.75" customHeight="1">
      <c r="B118" s="267"/>
      <c r="C118" s="285"/>
      <c r="D118" s="512" t="s">
        <v>455</v>
      </c>
      <c r="E118" s="513"/>
      <c r="F118" s="369"/>
      <c r="G118" s="293"/>
      <c r="H118" s="293">
        <f aca="true" t="shared" si="12" ref="H118:L119">G118*1.03</f>
        <v>0</v>
      </c>
      <c r="I118" s="293">
        <f t="shared" si="12"/>
        <v>0</v>
      </c>
      <c r="J118" s="293">
        <f t="shared" si="12"/>
        <v>0</v>
      </c>
      <c r="K118" s="293">
        <f t="shared" si="12"/>
        <v>0</v>
      </c>
      <c r="L118" s="293">
        <f t="shared" si="12"/>
        <v>0</v>
      </c>
      <c r="M118" s="361"/>
      <c r="N118" s="560" t="s">
        <v>862</v>
      </c>
      <c r="O118" s="288"/>
      <c r="P118" s="297"/>
    </row>
    <row r="119" spans="2:16" ht="15.75" customHeight="1">
      <c r="B119" s="267"/>
      <c r="C119" s="285"/>
      <c r="D119" s="512" t="s">
        <v>456</v>
      </c>
      <c r="E119" s="513"/>
      <c r="F119" s="369"/>
      <c r="G119" s="293">
        <v>14793.81</v>
      </c>
      <c r="H119" s="293">
        <f t="shared" si="12"/>
        <v>15237.6243</v>
      </c>
      <c r="I119" s="293">
        <f t="shared" si="12"/>
        <v>15694.753029</v>
      </c>
      <c r="J119" s="293">
        <f t="shared" si="12"/>
        <v>16165.59561987</v>
      </c>
      <c r="K119" s="293">
        <f t="shared" si="12"/>
        <v>16650.5634884661</v>
      </c>
      <c r="L119" s="293">
        <f t="shared" si="12"/>
        <v>17150.080393120086</v>
      </c>
      <c r="M119" s="361"/>
      <c r="N119" s="561"/>
      <c r="O119" s="319"/>
      <c r="P119" s="297"/>
    </row>
    <row r="120" spans="2:16" ht="15.75" customHeight="1">
      <c r="B120" s="267"/>
      <c r="C120" s="285"/>
      <c r="D120" s="375"/>
      <c r="E120" s="376"/>
      <c r="F120" s="25"/>
      <c r="G120" s="301"/>
      <c r="H120" s="22"/>
      <c r="I120" s="22"/>
      <c r="J120" s="22"/>
      <c r="K120" s="22"/>
      <c r="L120" s="287"/>
      <c r="M120" s="271"/>
      <c r="N120" s="561"/>
      <c r="O120" s="288"/>
      <c r="P120" s="297"/>
    </row>
    <row r="121" spans="2:17" s="286" customFormat="1" ht="15.75" customHeight="1">
      <c r="B121" s="267"/>
      <c r="C121" s="285"/>
      <c r="D121" s="514" t="s">
        <v>457</v>
      </c>
      <c r="E121" s="515"/>
      <c r="F121" s="24"/>
      <c r="G121" s="312">
        <f aca="true" t="shared" si="13" ref="G121:L121">SUM(G118:G119)</f>
        <v>14793.81</v>
      </c>
      <c r="H121" s="312">
        <f t="shared" si="13"/>
        <v>15237.6243</v>
      </c>
      <c r="I121" s="312">
        <f t="shared" si="13"/>
        <v>15694.753029</v>
      </c>
      <c r="J121" s="312">
        <f t="shared" si="13"/>
        <v>16165.59561987</v>
      </c>
      <c r="K121" s="312">
        <f t="shared" si="13"/>
        <v>16650.5634884661</v>
      </c>
      <c r="L121" s="312">
        <f t="shared" si="13"/>
        <v>17150.080393120086</v>
      </c>
      <c r="M121" s="356"/>
      <c r="N121" s="562"/>
      <c r="O121" s="288"/>
      <c r="P121" s="297"/>
      <c r="Q121" s="307"/>
    </row>
    <row r="122" spans="2:16" ht="15.75" customHeight="1">
      <c r="B122" s="267"/>
      <c r="C122" s="285"/>
      <c r="D122" s="375"/>
      <c r="E122" s="376"/>
      <c r="F122" s="25"/>
      <c r="G122" s="303"/>
      <c r="H122" s="23"/>
      <c r="I122" s="23"/>
      <c r="J122" s="23"/>
      <c r="K122" s="23"/>
      <c r="L122" s="300"/>
      <c r="M122" s="271"/>
      <c r="N122" s="345"/>
      <c r="O122" s="288"/>
      <c r="P122" s="297"/>
    </row>
    <row r="123" spans="2:16" ht="15.75" customHeight="1">
      <c r="B123" s="267"/>
      <c r="C123" s="285"/>
      <c r="D123" s="526" t="s">
        <v>41</v>
      </c>
      <c r="E123" s="527"/>
      <c r="F123" s="270"/>
      <c r="G123" s="373"/>
      <c r="H123" s="304"/>
      <c r="I123" s="304"/>
      <c r="J123" s="304"/>
      <c r="K123" s="304"/>
      <c r="L123" s="305"/>
      <c r="M123" s="271"/>
      <c r="N123" s="365" t="s">
        <v>501</v>
      </c>
      <c r="O123" s="288"/>
      <c r="P123" s="297"/>
    </row>
    <row r="124" spans="2:16" ht="15.75" customHeight="1">
      <c r="B124" s="267"/>
      <c r="C124" s="285"/>
      <c r="D124" s="512" t="s">
        <v>4</v>
      </c>
      <c r="E124" s="513"/>
      <c r="F124" s="369"/>
      <c r="G124" s="293">
        <v>5000</v>
      </c>
      <c r="H124" s="293">
        <v>0</v>
      </c>
      <c r="I124" s="293">
        <f aca="true" t="shared" si="14" ref="H124:L125">H124*1.03</f>
        <v>0</v>
      </c>
      <c r="J124" s="293">
        <f t="shared" si="14"/>
        <v>0</v>
      </c>
      <c r="K124" s="293">
        <f t="shared" si="14"/>
        <v>0</v>
      </c>
      <c r="L124" s="293">
        <f t="shared" si="14"/>
        <v>0</v>
      </c>
      <c r="M124" s="361"/>
      <c r="N124" s="560" t="s">
        <v>2</v>
      </c>
      <c r="O124" s="288"/>
      <c r="P124" s="297"/>
    </row>
    <row r="125" spans="2:16" ht="15.75" customHeight="1">
      <c r="B125" s="267"/>
      <c r="C125" s="285"/>
      <c r="D125" s="512" t="s">
        <v>458</v>
      </c>
      <c r="E125" s="513"/>
      <c r="F125" s="369"/>
      <c r="G125" s="293"/>
      <c r="H125" s="293">
        <f t="shared" si="14"/>
        <v>0</v>
      </c>
      <c r="I125" s="293">
        <f t="shared" si="14"/>
        <v>0</v>
      </c>
      <c r="J125" s="293">
        <f t="shared" si="14"/>
        <v>0</v>
      </c>
      <c r="K125" s="293">
        <f t="shared" si="14"/>
        <v>0</v>
      </c>
      <c r="L125" s="293">
        <f t="shared" si="14"/>
        <v>0</v>
      </c>
      <c r="M125" s="361"/>
      <c r="N125" s="561"/>
      <c r="O125" s="288"/>
      <c r="P125" s="306"/>
    </row>
    <row r="126" spans="2:16" ht="15.75" customHeight="1">
      <c r="B126" s="267"/>
      <c r="C126" s="285"/>
      <c r="D126" s="375"/>
      <c r="E126" s="376"/>
      <c r="F126" s="25"/>
      <c r="G126" s="301"/>
      <c r="H126" s="22"/>
      <c r="I126" s="22"/>
      <c r="J126" s="22"/>
      <c r="K126" s="22"/>
      <c r="L126" s="287"/>
      <c r="M126" s="271"/>
      <c r="N126" s="561"/>
      <c r="O126" s="288"/>
      <c r="P126" s="306"/>
    </row>
    <row r="127" spans="2:16" ht="15.75" customHeight="1">
      <c r="B127" s="267"/>
      <c r="C127" s="285"/>
      <c r="D127" s="514" t="s">
        <v>505</v>
      </c>
      <c r="E127" s="515"/>
      <c r="F127" s="24"/>
      <c r="G127" s="302">
        <f aca="true" t="shared" si="15" ref="G127:L127">SUM(G124:G125)</f>
        <v>5000</v>
      </c>
      <c r="H127" s="312">
        <f t="shared" si="15"/>
        <v>0</v>
      </c>
      <c r="I127" s="312">
        <f t="shared" si="15"/>
        <v>0</v>
      </c>
      <c r="J127" s="312">
        <f t="shared" si="15"/>
        <v>0</v>
      </c>
      <c r="K127" s="312">
        <f t="shared" si="15"/>
        <v>0</v>
      </c>
      <c r="L127" s="312">
        <f t="shared" si="15"/>
        <v>0</v>
      </c>
      <c r="M127" s="356"/>
      <c r="N127" s="562"/>
      <c r="O127" s="288"/>
      <c r="P127" s="297"/>
    </row>
    <row r="128" spans="2:16" ht="15.75" customHeight="1">
      <c r="B128" s="267"/>
      <c r="C128" s="285"/>
      <c r="D128" s="375"/>
      <c r="E128" s="376"/>
      <c r="F128" s="25"/>
      <c r="G128" s="303"/>
      <c r="H128" s="23"/>
      <c r="I128" s="23"/>
      <c r="J128" s="23"/>
      <c r="K128" s="23"/>
      <c r="L128" s="300"/>
      <c r="M128" s="271"/>
      <c r="N128" s="345"/>
      <c r="O128" s="288"/>
      <c r="P128" s="297"/>
    </row>
    <row r="129" spans="2:16" ht="15.75" customHeight="1">
      <c r="B129" s="267"/>
      <c r="C129" s="285"/>
      <c r="D129" s="526" t="s">
        <v>474</v>
      </c>
      <c r="E129" s="527"/>
      <c r="F129" s="270"/>
      <c r="G129" s="373"/>
      <c r="H129" s="304"/>
      <c r="I129" s="27"/>
      <c r="J129" s="27"/>
      <c r="K129" s="27"/>
      <c r="L129" s="27"/>
      <c r="M129" s="25"/>
      <c r="N129" s="367" t="s">
        <v>502</v>
      </c>
      <c r="O129" s="320"/>
      <c r="P129" s="297"/>
    </row>
    <row r="130" spans="2:16" ht="15.75" customHeight="1">
      <c r="B130" s="267"/>
      <c r="C130" s="285"/>
      <c r="D130" s="512" t="s">
        <v>42</v>
      </c>
      <c r="E130" s="513"/>
      <c r="F130" s="369"/>
      <c r="G130" s="293"/>
      <c r="H130" s="293">
        <v>0</v>
      </c>
      <c r="I130" s="293">
        <v>0</v>
      </c>
      <c r="J130" s="293">
        <v>0</v>
      </c>
      <c r="K130" s="293">
        <v>0</v>
      </c>
      <c r="L130" s="293">
        <v>0</v>
      </c>
      <c r="M130" s="361"/>
      <c r="N130" s="560"/>
      <c r="O130" s="288"/>
      <c r="P130" s="297"/>
    </row>
    <row r="131" spans="2:16" ht="15.75" customHeight="1">
      <c r="B131" s="267"/>
      <c r="C131" s="285"/>
      <c r="D131" s="512" t="s">
        <v>5</v>
      </c>
      <c r="E131" s="513"/>
      <c r="F131" s="369"/>
      <c r="G131" s="293">
        <v>9216.15</v>
      </c>
      <c r="H131" s="293">
        <v>9492.6345</v>
      </c>
      <c r="I131" s="293">
        <v>9777.413535</v>
      </c>
      <c r="J131" s="293">
        <v>10070.73594105</v>
      </c>
      <c r="K131" s="293">
        <v>10372.858019281499</v>
      </c>
      <c r="L131" s="293">
        <v>10684.043759859944</v>
      </c>
      <c r="M131" s="361"/>
      <c r="N131" s="561"/>
      <c r="O131" s="288"/>
      <c r="P131" s="297"/>
    </row>
    <row r="132" spans="2:16" ht="15.75" customHeight="1">
      <c r="B132" s="267"/>
      <c r="C132" s="285"/>
      <c r="D132" s="512" t="s">
        <v>43</v>
      </c>
      <c r="E132" s="513"/>
      <c r="F132" s="369"/>
      <c r="G132" s="293">
        <v>10081.19</v>
      </c>
      <c r="H132" s="293">
        <v>10383.6257</v>
      </c>
      <c r="I132" s="293">
        <v>10695.134471000001</v>
      </c>
      <c r="J132" s="293">
        <v>11015.98850513</v>
      </c>
      <c r="K132" s="293">
        <v>11346.468160283901</v>
      </c>
      <c r="L132" s="293">
        <v>11686.862205092419</v>
      </c>
      <c r="M132" s="361"/>
      <c r="N132" s="561"/>
      <c r="O132" s="288"/>
      <c r="P132" s="297"/>
    </row>
    <row r="133" spans="2:16" ht="15.75" customHeight="1">
      <c r="B133" s="267"/>
      <c r="C133" s="285"/>
      <c r="D133" s="512" t="s">
        <v>44</v>
      </c>
      <c r="E133" s="513"/>
      <c r="F133" s="369"/>
      <c r="G133" s="293"/>
      <c r="H133" s="293">
        <v>0</v>
      </c>
      <c r="I133" s="293">
        <v>0</v>
      </c>
      <c r="J133" s="293">
        <v>0</v>
      </c>
      <c r="K133" s="293">
        <v>0</v>
      </c>
      <c r="L133" s="293">
        <v>0</v>
      </c>
      <c r="M133" s="361"/>
      <c r="N133" s="561"/>
      <c r="O133" s="288"/>
      <c r="P133" s="297"/>
    </row>
    <row r="134" spans="2:16" ht="15.75" customHeight="1">
      <c r="B134" s="267"/>
      <c r="C134" s="285"/>
      <c r="D134" s="512" t="s">
        <v>459</v>
      </c>
      <c r="E134" s="513"/>
      <c r="F134" s="369"/>
      <c r="G134" s="293">
        <v>42664.43</v>
      </c>
      <c r="H134" s="293">
        <v>21972.18145</v>
      </c>
      <c r="I134" s="293">
        <v>22631.346893500002</v>
      </c>
      <c r="J134" s="293">
        <v>23310.287300305</v>
      </c>
      <c r="K134" s="293">
        <v>24009.59591931415</v>
      </c>
      <c r="L134" s="293">
        <v>24729.883796893573</v>
      </c>
      <c r="M134" s="361"/>
      <c r="N134" s="561"/>
      <c r="O134" s="288"/>
      <c r="P134" s="297"/>
    </row>
    <row r="135" spans="2:16" ht="15.75" customHeight="1">
      <c r="B135" s="267"/>
      <c r="C135" s="285"/>
      <c r="D135" s="512" t="s">
        <v>460</v>
      </c>
      <c r="E135" s="513"/>
      <c r="F135" s="369"/>
      <c r="G135" s="293">
        <v>100</v>
      </c>
      <c r="H135" s="293">
        <v>103</v>
      </c>
      <c r="I135" s="293">
        <v>106.09</v>
      </c>
      <c r="J135" s="293">
        <v>109.2727</v>
      </c>
      <c r="K135" s="293">
        <v>112.550881</v>
      </c>
      <c r="L135" s="293">
        <v>115.92740743</v>
      </c>
      <c r="M135" s="361"/>
      <c r="N135" s="561"/>
      <c r="O135" s="288"/>
      <c r="P135" s="297"/>
    </row>
    <row r="136" spans="2:16" ht="15.75" customHeight="1">
      <c r="B136" s="267"/>
      <c r="C136" s="285"/>
      <c r="D136" s="512" t="s">
        <v>6</v>
      </c>
      <c r="E136" s="513"/>
      <c r="F136" s="369"/>
      <c r="G136" s="293"/>
      <c r="H136" s="293">
        <v>0</v>
      </c>
      <c r="I136" s="293">
        <v>0</v>
      </c>
      <c r="J136" s="293">
        <v>0</v>
      </c>
      <c r="K136" s="293">
        <v>0</v>
      </c>
      <c r="L136" s="293">
        <v>0</v>
      </c>
      <c r="M136" s="361"/>
      <c r="N136" s="561"/>
      <c r="O136" s="288"/>
      <c r="P136" s="297"/>
    </row>
    <row r="137" spans="2:16" ht="15.75" customHeight="1">
      <c r="B137" s="267"/>
      <c r="C137" s="285"/>
      <c r="D137" s="512" t="s">
        <v>461</v>
      </c>
      <c r="E137" s="513"/>
      <c r="F137" s="369"/>
      <c r="G137" s="293">
        <v>2924.76</v>
      </c>
      <c r="H137" s="293">
        <v>3012.5028</v>
      </c>
      <c r="I137" s="293">
        <v>3102.8778840000004</v>
      </c>
      <c r="J137" s="293">
        <v>3195.9642205200007</v>
      </c>
      <c r="K137" s="293">
        <v>3291.8431471356007</v>
      </c>
      <c r="L137" s="293">
        <v>3390.5984415496687</v>
      </c>
      <c r="M137" s="361"/>
      <c r="N137" s="561"/>
      <c r="O137" s="288"/>
      <c r="P137" s="297"/>
    </row>
    <row r="138" spans="2:16" ht="15.75" customHeight="1">
      <c r="B138" s="267"/>
      <c r="C138" s="285"/>
      <c r="D138" s="512" t="s">
        <v>45</v>
      </c>
      <c r="E138" s="513"/>
      <c r="F138" s="369"/>
      <c r="G138" s="293">
        <v>2973.08</v>
      </c>
      <c r="H138" s="293">
        <v>3062.2724</v>
      </c>
      <c r="I138" s="293">
        <v>3154.140572</v>
      </c>
      <c r="J138" s="293">
        <v>3248.76478916</v>
      </c>
      <c r="K138" s="293">
        <v>3346.2277328348</v>
      </c>
      <c r="L138" s="293">
        <v>3446.614564819844</v>
      </c>
      <c r="M138" s="361"/>
      <c r="N138" s="561"/>
      <c r="O138" s="288"/>
      <c r="P138" s="297"/>
    </row>
    <row r="139" spans="2:16" ht="15.75" customHeight="1">
      <c r="B139" s="267"/>
      <c r="C139" s="285"/>
      <c r="D139" s="512" t="s">
        <v>462</v>
      </c>
      <c r="E139" s="513"/>
      <c r="F139" s="369"/>
      <c r="G139" s="293"/>
      <c r="H139" s="293">
        <v>0</v>
      </c>
      <c r="I139" s="293">
        <v>0</v>
      </c>
      <c r="J139" s="293">
        <v>0</v>
      </c>
      <c r="K139" s="293">
        <v>0</v>
      </c>
      <c r="L139" s="293">
        <v>0</v>
      </c>
      <c r="M139" s="361"/>
      <c r="N139" s="561"/>
      <c r="O139" s="288"/>
      <c r="P139" s="297"/>
    </row>
    <row r="140" spans="2:16" ht="15.75" customHeight="1">
      <c r="B140" s="267"/>
      <c r="C140" s="285"/>
      <c r="D140" s="512" t="s">
        <v>46</v>
      </c>
      <c r="E140" s="513"/>
      <c r="F140" s="369"/>
      <c r="G140" s="293">
        <v>106053.66</v>
      </c>
      <c r="H140" s="293">
        <v>104993.46</v>
      </c>
      <c r="I140" s="293">
        <v>121513.31412552003</v>
      </c>
      <c r="J140" s="293">
        <v>135588.60634505944</v>
      </c>
      <c r="K140" s="293">
        <v>150399.05411505824</v>
      </c>
      <c r="L140" s="293">
        <v>165976.0990055464</v>
      </c>
      <c r="M140" s="361"/>
      <c r="N140" s="561"/>
      <c r="O140" s="288"/>
      <c r="P140" s="297"/>
    </row>
    <row r="141" spans="2:16" ht="15.75" customHeight="1">
      <c r="B141" s="267"/>
      <c r="C141" s="285"/>
      <c r="D141" s="512" t="s">
        <v>463</v>
      </c>
      <c r="E141" s="513"/>
      <c r="F141" s="369"/>
      <c r="G141" s="293">
        <v>58241.4</v>
      </c>
      <c r="H141" s="293">
        <v>59988.642</v>
      </c>
      <c r="I141" s="293">
        <v>61788.30126</v>
      </c>
      <c r="J141" s="293">
        <v>63641.9502978</v>
      </c>
      <c r="K141" s="293">
        <v>65551.20880673401</v>
      </c>
      <c r="L141" s="293">
        <v>67517.74507093603</v>
      </c>
      <c r="M141" s="361"/>
      <c r="N141" s="561"/>
      <c r="O141" s="288"/>
      <c r="P141" s="297"/>
    </row>
    <row r="142" spans="2:16" ht="15.75" customHeight="1">
      <c r="B142" s="267"/>
      <c r="C142" s="285"/>
      <c r="D142" s="512" t="s">
        <v>464</v>
      </c>
      <c r="E142" s="513"/>
      <c r="F142" s="369"/>
      <c r="G142" s="293">
        <v>15171.97</v>
      </c>
      <c r="H142" s="293">
        <v>3906.782275</v>
      </c>
      <c r="I142" s="293">
        <v>4023.9857432500003</v>
      </c>
      <c r="J142" s="293">
        <v>4144.7053155475005</v>
      </c>
      <c r="K142" s="293">
        <v>4269.046475013925</v>
      </c>
      <c r="L142" s="293">
        <v>4397.117869264343</v>
      </c>
      <c r="M142" s="361"/>
      <c r="N142" s="561"/>
      <c r="O142" s="288"/>
      <c r="P142" s="297"/>
    </row>
    <row r="143" spans="2:16" ht="15.75" customHeight="1">
      <c r="B143" s="267"/>
      <c r="C143" s="285"/>
      <c r="D143" s="512" t="s">
        <v>465</v>
      </c>
      <c r="E143" s="513"/>
      <c r="F143" s="369"/>
      <c r="G143" s="293"/>
      <c r="H143" s="293">
        <v>0</v>
      </c>
      <c r="I143" s="293">
        <v>0</v>
      </c>
      <c r="J143" s="293">
        <v>0</v>
      </c>
      <c r="K143" s="293">
        <v>0</v>
      </c>
      <c r="L143" s="293">
        <v>0</v>
      </c>
      <c r="M143" s="361"/>
      <c r="N143" s="561"/>
      <c r="O143" s="288"/>
      <c r="P143" s="297"/>
    </row>
    <row r="144" spans="2:16" ht="15.75" customHeight="1">
      <c r="B144" s="267"/>
      <c r="C144" s="285"/>
      <c r="D144" s="375"/>
      <c r="E144" s="376"/>
      <c r="F144" s="25"/>
      <c r="G144" s="301"/>
      <c r="H144" s="22"/>
      <c r="I144" s="22"/>
      <c r="J144" s="22"/>
      <c r="K144" s="22"/>
      <c r="L144" s="287"/>
      <c r="M144" s="271"/>
      <c r="N144" s="561"/>
      <c r="O144" s="288"/>
      <c r="P144" s="297"/>
    </row>
    <row r="145" spans="2:16" ht="15.75" customHeight="1">
      <c r="B145" s="267"/>
      <c r="C145" s="285"/>
      <c r="D145" s="514" t="s">
        <v>466</v>
      </c>
      <c r="E145" s="515"/>
      <c r="F145" s="24"/>
      <c r="G145" s="302">
        <f aca="true" t="shared" si="16" ref="G145:L145">SUM(G130:G143)</f>
        <v>247426.64</v>
      </c>
      <c r="H145" s="312">
        <f t="shared" si="16"/>
        <v>216915.10112500002</v>
      </c>
      <c r="I145" s="312">
        <f t="shared" si="16"/>
        <v>236792.60448427004</v>
      </c>
      <c r="J145" s="312">
        <f t="shared" si="16"/>
        <v>254326.27541457195</v>
      </c>
      <c r="K145" s="312">
        <f t="shared" si="16"/>
        <v>272698.85325665615</v>
      </c>
      <c r="L145" s="312">
        <f t="shared" si="16"/>
        <v>291944.8921213922</v>
      </c>
      <c r="M145" s="356"/>
      <c r="N145" s="562"/>
      <c r="O145" s="295"/>
      <c r="P145" s="297"/>
    </row>
    <row r="146" spans="2:16" ht="15.75" customHeight="1">
      <c r="B146" s="267"/>
      <c r="C146" s="285"/>
      <c r="D146" s="375"/>
      <c r="E146" s="376"/>
      <c r="F146" s="25"/>
      <c r="G146" s="321"/>
      <c r="H146" s="322"/>
      <c r="I146" s="322"/>
      <c r="J146" s="322"/>
      <c r="K146" s="322"/>
      <c r="L146" s="323"/>
      <c r="M146" s="349"/>
      <c r="N146" s="347"/>
      <c r="O146" s="295"/>
      <c r="P146" s="273"/>
    </row>
    <row r="147" spans="2:16" ht="15.75" customHeight="1">
      <c r="B147" s="267"/>
      <c r="C147" s="285"/>
      <c r="D147" s="526" t="s">
        <v>475</v>
      </c>
      <c r="E147" s="527"/>
      <c r="F147" s="270"/>
      <c r="G147" s="373"/>
      <c r="H147" s="324"/>
      <c r="I147" s="325"/>
      <c r="J147" s="325"/>
      <c r="K147" s="325"/>
      <c r="L147" s="325"/>
      <c r="M147" s="276"/>
      <c r="N147" s="368" t="s">
        <v>507</v>
      </c>
      <c r="O147" s="320"/>
      <c r="P147" s="273"/>
    </row>
    <row r="148" spans="2:16" ht="15.75" customHeight="1">
      <c r="B148" s="267"/>
      <c r="C148" s="285"/>
      <c r="D148" s="512" t="s">
        <v>468</v>
      </c>
      <c r="E148" s="513"/>
      <c r="F148" s="369"/>
      <c r="G148" s="293">
        <v>166860</v>
      </c>
      <c r="H148" s="293">
        <v>171865.80000000002</v>
      </c>
      <c r="I148" s="293">
        <v>177021.77400000003</v>
      </c>
      <c r="J148" s="293">
        <v>182332.42722000004</v>
      </c>
      <c r="K148" s="293">
        <v>187802.40003660004</v>
      </c>
      <c r="L148" s="293">
        <v>193436.47203769805</v>
      </c>
      <c r="M148" s="361"/>
      <c r="N148" s="560"/>
      <c r="O148" s="288"/>
      <c r="P148" s="273"/>
    </row>
    <row r="149" spans="2:16" ht="15.75" customHeight="1">
      <c r="B149" s="267"/>
      <c r="C149" s="285"/>
      <c r="D149" s="512" t="s">
        <v>467</v>
      </c>
      <c r="E149" s="513"/>
      <c r="F149" s="369"/>
      <c r="G149" s="293"/>
      <c r="H149" s="293">
        <v>0</v>
      </c>
      <c r="I149" s="293">
        <v>0</v>
      </c>
      <c r="J149" s="293">
        <v>0</v>
      </c>
      <c r="K149" s="293">
        <v>0</v>
      </c>
      <c r="L149" s="293">
        <v>0</v>
      </c>
      <c r="M149" s="361"/>
      <c r="N149" s="561"/>
      <c r="O149" s="295"/>
      <c r="P149" s="273"/>
    </row>
    <row r="150" spans="2:16" ht="15.75" customHeight="1">
      <c r="B150" s="267"/>
      <c r="C150" s="285"/>
      <c r="D150" s="375" t="s">
        <v>470</v>
      </c>
      <c r="E150" s="376"/>
      <c r="F150" s="369"/>
      <c r="G150" s="293"/>
      <c r="H150" s="293">
        <v>0</v>
      </c>
      <c r="I150" s="293">
        <v>0</v>
      </c>
      <c r="J150" s="293">
        <v>0</v>
      </c>
      <c r="K150" s="293">
        <v>0</v>
      </c>
      <c r="L150" s="293">
        <v>0</v>
      </c>
      <c r="M150" s="361"/>
      <c r="N150" s="561"/>
      <c r="O150" s="295"/>
      <c r="P150" s="273"/>
    </row>
    <row r="151" spans="2:16" ht="15.75" customHeight="1">
      <c r="B151" s="267"/>
      <c r="C151" s="285"/>
      <c r="D151" s="375" t="s">
        <v>469</v>
      </c>
      <c r="E151" s="376"/>
      <c r="F151" s="369"/>
      <c r="G151" s="293"/>
      <c r="H151" s="293">
        <v>0</v>
      </c>
      <c r="I151" s="293">
        <v>0</v>
      </c>
      <c r="J151" s="293">
        <v>0</v>
      </c>
      <c r="K151" s="293">
        <v>0</v>
      </c>
      <c r="L151" s="293">
        <v>0</v>
      </c>
      <c r="M151" s="361"/>
      <c r="N151" s="561"/>
      <c r="O151" s="295"/>
      <c r="P151" s="273"/>
    </row>
    <row r="152" spans="2:16" ht="15.75" customHeight="1">
      <c r="B152" s="267"/>
      <c r="C152" s="285"/>
      <c r="D152" s="375" t="s">
        <v>548</v>
      </c>
      <c r="E152" s="376"/>
      <c r="F152" s="369"/>
      <c r="G152" s="293"/>
      <c r="H152" s="293">
        <v>0</v>
      </c>
      <c r="I152" s="293">
        <v>0</v>
      </c>
      <c r="J152" s="293">
        <v>0</v>
      </c>
      <c r="K152" s="293">
        <v>0</v>
      </c>
      <c r="L152" s="293">
        <v>0</v>
      </c>
      <c r="M152" s="361"/>
      <c r="N152" s="561"/>
      <c r="O152" s="295"/>
      <c r="P152" s="273"/>
    </row>
    <row r="153" spans="2:16" ht="15.75" customHeight="1">
      <c r="B153" s="267"/>
      <c r="C153" s="285"/>
      <c r="D153" s="375" t="s">
        <v>51</v>
      </c>
      <c r="E153" s="376"/>
      <c r="F153" s="369"/>
      <c r="G153" s="293"/>
      <c r="H153" s="293">
        <v>0</v>
      </c>
      <c r="I153" s="293">
        <v>0</v>
      </c>
      <c r="J153" s="293">
        <v>0</v>
      </c>
      <c r="K153" s="293">
        <v>0</v>
      </c>
      <c r="L153" s="293">
        <v>0</v>
      </c>
      <c r="M153" s="361"/>
      <c r="N153" s="561"/>
      <c r="O153" s="295"/>
      <c r="P153" s="273"/>
    </row>
    <row r="154" spans="2:16" ht="15.75" customHeight="1">
      <c r="B154" s="267"/>
      <c r="C154" s="285"/>
      <c r="D154" s="375" t="s">
        <v>471</v>
      </c>
      <c r="E154" s="376"/>
      <c r="F154" s="369"/>
      <c r="G154" s="293">
        <v>432.74</v>
      </c>
      <c r="H154" s="293">
        <v>445.72220000000004</v>
      </c>
      <c r="I154" s="293">
        <v>459.09386600000005</v>
      </c>
      <c r="J154" s="293">
        <v>472.86668198000007</v>
      </c>
      <c r="K154" s="293">
        <v>487.0526824394001</v>
      </c>
      <c r="L154" s="293">
        <v>501.6642629125821</v>
      </c>
      <c r="M154" s="361"/>
      <c r="N154" s="561"/>
      <c r="O154" s="295"/>
      <c r="P154" s="273"/>
    </row>
    <row r="155" spans="2:16" ht="15.75" customHeight="1">
      <c r="B155" s="267"/>
      <c r="C155" s="285"/>
      <c r="D155" s="375" t="s">
        <v>472</v>
      </c>
      <c r="E155" s="376"/>
      <c r="F155" s="369"/>
      <c r="G155" s="293"/>
      <c r="H155" s="293">
        <v>0</v>
      </c>
      <c r="I155" s="293">
        <v>0</v>
      </c>
      <c r="J155" s="293">
        <v>0</v>
      </c>
      <c r="K155" s="293">
        <v>0</v>
      </c>
      <c r="L155" s="293">
        <v>0</v>
      </c>
      <c r="M155" s="361"/>
      <c r="N155" s="561"/>
      <c r="O155" s="295"/>
      <c r="P155" s="273"/>
    </row>
    <row r="156" spans="2:16" ht="15.75" customHeight="1">
      <c r="B156" s="267"/>
      <c r="C156" s="285"/>
      <c r="D156" s="512" t="s">
        <v>473</v>
      </c>
      <c r="E156" s="513"/>
      <c r="F156" s="369"/>
      <c r="G156" s="293"/>
      <c r="H156" s="293">
        <v>0</v>
      </c>
      <c r="I156" s="293">
        <v>0</v>
      </c>
      <c r="J156" s="293">
        <v>0</v>
      </c>
      <c r="K156" s="293">
        <v>0</v>
      </c>
      <c r="L156" s="293">
        <v>0</v>
      </c>
      <c r="M156" s="361"/>
      <c r="N156" s="561"/>
      <c r="O156" s="295"/>
      <c r="P156" s="273"/>
    </row>
    <row r="157" spans="2:16" ht="15.75" customHeight="1">
      <c r="B157" s="267"/>
      <c r="C157" s="285"/>
      <c r="D157" s="512" t="s">
        <v>47</v>
      </c>
      <c r="E157" s="513"/>
      <c r="F157" s="369"/>
      <c r="G157" s="293"/>
      <c r="H157" s="293">
        <v>0</v>
      </c>
      <c r="I157" s="293">
        <v>0</v>
      </c>
      <c r="J157" s="293">
        <v>0</v>
      </c>
      <c r="K157" s="293">
        <v>0</v>
      </c>
      <c r="L157" s="293">
        <v>0</v>
      </c>
      <c r="M157" s="361"/>
      <c r="N157" s="561"/>
      <c r="O157" s="295"/>
      <c r="P157" s="273"/>
    </row>
    <row r="158" spans="2:16" ht="15.75" customHeight="1">
      <c r="B158" s="267"/>
      <c r="C158" s="285"/>
      <c r="D158" s="512" t="s">
        <v>549</v>
      </c>
      <c r="E158" s="513"/>
      <c r="F158" s="369"/>
      <c r="G158" s="293">
        <v>81343.77</v>
      </c>
      <c r="H158" s="293">
        <v>16756.81662</v>
      </c>
      <c r="I158" s="293">
        <v>23459.543268</v>
      </c>
      <c r="J158" s="293">
        <v>24163.329566040004</v>
      </c>
      <c r="K158" s="293">
        <v>14932.937671812722</v>
      </c>
      <c r="L158" s="293">
        <v>19226.15725245888</v>
      </c>
      <c r="M158" s="361"/>
      <c r="N158" s="561"/>
      <c r="O158" s="295"/>
      <c r="P158" s="273"/>
    </row>
    <row r="159" spans="2:16" ht="15.75" customHeight="1">
      <c r="B159" s="267"/>
      <c r="C159" s="285"/>
      <c r="D159" s="512" t="s">
        <v>550</v>
      </c>
      <c r="E159" s="513"/>
      <c r="F159" s="369"/>
      <c r="G159" s="293">
        <v>6454.67</v>
      </c>
      <c r="H159" s="293">
        <v>6648.310100000001</v>
      </c>
      <c r="I159" s="293">
        <v>6847.759403000001</v>
      </c>
      <c r="J159" s="293">
        <v>7053.192185090001</v>
      </c>
      <c r="K159" s="293">
        <v>7264.787950642701</v>
      </c>
      <c r="L159" s="293">
        <v>7482.731589161982</v>
      </c>
      <c r="M159" s="361"/>
      <c r="N159" s="561"/>
      <c r="O159" s="295"/>
      <c r="P159" s="273"/>
    </row>
    <row r="160" spans="2:16" ht="15.75" customHeight="1">
      <c r="B160" s="267"/>
      <c r="C160" s="285"/>
      <c r="D160" s="512" t="s">
        <v>48</v>
      </c>
      <c r="E160" s="513"/>
      <c r="F160" s="369"/>
      <c r="G160" s="293"/>
      <c r="H160" s="293">
        <v>0</v>
      </c>
      <c r="I160" s="293">
        <v>0</v>
      </c>
      <c r="J160" s="293">
        <v>0</v>
      </c>
      <c r="K160" s="293">
        <v>0</v>
      </c>
      <c r="L160" s="293">
        <v>0</v>
      </c>
      <c r="M160" s="361"/>
      <c r="N160" s="561"/>
      <c r="O160" s="295"/>
      <c r="P160" s="273"/>
    </row>
    <row r="161" spans="2:16" ht="15.75" customHeight="1">
      <c r="B161" s="267"/>
      <c r="C161" s="285"/>
      <c r="D161" s="512" t="s">
        <v>476</v>
      </c>
      <c r="E161" s="513"/>
      <c r="F161" s="369"/>
      <c r="G161" s="293">
        <v>11378.14</v>
      </c>
      <c r="H161" s="293">
        <v>5859.7420999999995</v>
      </c>
      <c r="I161" s="293">
        <v>6035.534363</v>
      </c>
      <c r="J161" s="293">
        <v>6216.60039389</v>
      </c>
      <c r="K161" s="293">
        <v>6403.098405706701</v>
      </c>
      <c r="L161" s="293">
        <v>6595.191357877902</v>
      </c>
      <c r="M161" s="361"/>
      <c r="N161" s="561"/>
      <c r="O161" s="295"/>
      <c r="P161" s="273"/>
    </row>
    <row r="162" spans="2:16" ht="15.75" customHeight="1">
      <c r="B162" s="267"/>
      <c r="C162" s="285"/>
      <c r="D162" s="512" t="s">
        <v>477</v>
      </c>
      <c r="E162" s="513"/>
      <c r="F162" s="369"/>
      <c r="G162" s="293"/>
      <c r="H162" s="293">
        <v>0</v>
      </c>
      <c r="I162" s="293">
        <v>0</v>
      </c>
      <c r="J162" s="293">
        <v>0</v>
      </c>
      <c r="K162" s="293">
        <v>0</v>
      </c>
      <c r="L162" s="293">
        <v>0</v>
      </c>
      <c r="M162" s="361"/>
      <c r="N162" s="561"/>
      <c r="O162" s="288"/>
      <c r="P162" s="273"/>
    </row>
    <row r="163" spans="2:16" ht="15.75" customHeight="1">
      <c r="B163" s="267"/>
      <c r="C163" s="285"/>
      <c r="D163" s="375"/>
      <c r="E163" s="376"/>
      <c r="F163" s="25"/>
      <c r="G163" s="301"/>
      <c r="H163" s="22"/>
      <c r="I163" s="22"/>
      <c r="J163" s="22"/>
      <c r="K163" s="22"/>
      <c r="L163" s="287"/>
      <c r="M163" s="271"/>
      <c r="N163" s="561"/>
      <c r="O163" s="295"/>
      <c r="P163" s="273"/>
    </row>
    <row r="164" spans="2:16" ht="15.75" customHeight="1">
      <c r="B164" s="267"/>
      <c r="C164" s="285"/>
      <c r="D164" s="514" t="s">
        <v>49</v>
      </c>
      <c r="E164" s="515"/>
      <c r="F164" s="24"/>
      <c r="G164" s="302">
        <f aca="true" t="shared" si="17" ref="G164:L164">SUM(G148:G162)</f>
        <v>266469.32</v>
      </c>
      <c r="H164" s="312">
        <f t="shared" si="17"/>
        <v>201576.39102</v>
      </c>
      <c r="I164" s="312">
        <f t="shared" si="17"/>
        <v>213823.70490000007</v>
      </c>
      <c r="J164" s="312">
        <f t="shared" si="17"/>
        <v>220238.41604700006</v>
      </c>
      <c r="K164" s="312">
        <f t="shared" si="17"/>
        <v>216890.27674720154</v>
      </c>
      <c r="L164" s="312">
        <f t="shared" si="17"/>
        <v>227242.2165001094</v>
      </c>
      <c r="M164" s="356"/>
      <c r="N164" s="562"/>
      <c r="O164" s="295"/>
      <c r="P164" s="273"/>
    </row>
    <row r="165" spans="2:16" ht="15.75" customHeight="1">
      <c r="B165" s="267"/>
      <c r="C165" s="285"/>
      <c r="D165" s="375"/>
      <c r="E165" s="376"/>
      <c r="F165" s="25"/>
      <c r="G165" s="303"/>
      <c r="H165" s="23"/>
      <c r="I165" s="23"/>
      <c r="J165" s="23"/>
      <c r="K165" s="23"/>
      <c r="L165" s="300"/>
      <c r="M165" s="271"/>
      <c r="N165" s="347"/>
      <c r="O165" s="295"/>
      <c r="P165" s="273"/>
    </row>
    <row r="166" spans="2:16" ht="15.75" customHeight="1">
      <c r="B166" s="267"/>
      <c r="C166" s="285"/>
      <c r="D166" s="526" t="s">
        <v>92</v>
      </c>
      <c r="E166" s="527"/>
      <c r="F166" s="270"/>
      <c r="G166" s="309"/>
      <c r="H166" s="304"/>
      <c r="I166" s="304"/>
      <c r="J166" s="304"/>
      <c r="K166" s="304"/>
      <c r="L166" s="305"/>
      <c r="M166" s="271"/>
      <c r="N166" s="1" t="s">
        <v>503</v>
      </c>
      <c r="O166" s="295"/>
      <c r="P166" s="273"/>
    </row>
    <row r="167" spans="2:16" ht="15.75" customHeight="1">
      <c r="B167" s="267"/>
      <c r="C167" s="285"/>
      <c r="D167" s="541" t="s">
        <v>479</v>
      </c>
      <c r="E167" s="513"/>
      <c r="F167" s="25"/>
      <c r="G167" s="290">
        <f aca="true" t="shared" si="18" ref="G167:L167">F17*0.0075</f>
        <v>0</v>
      </c>
      <c r="H167" s="290">
        <f t="shared" si="18"/>
        <v>5764.0428</v>
      </c>
      <c r="I167" s="290">
        <f t="shared" si="18"/>
        <v>6340.44708</v>
      </c>
      <c r="J167" s="290">
        <f t="shared" si="18"/>
        <v>6916.85136</v>
      </c>
      <c r="K167" s="290">
        <f t="shared" si="18"/>
        <v>7493.255639999999</v>
      </c>
      <c r="L167" s="290">
        <f t="shared" si="18"/>
        <v>8069.659919999999</v>
      </c>
      <c r="M167" s="354"/>
      <c r="N167" s="563" t="s">
        <v>859</v>
      </c>
      <c r="O167" s="288"/>
      <c r="P167" s="273"/>
    </row>
    <row r="168" spans="2:16" ht="15.75" customHeight="1">
      <c r="B168" s="267"/>
      <c r="C168" s="285"/>
      <c r="D168" s="541" t="s">
        <v>480</v>
      </c>
      <c r="E168" s="542"/>
      <c r="F168" s="320"/>
      <c r="G168" s="293"/>
      <c r="H168" s="293"/>
      <c r="I168" s="293"/>
      <c r="J168" s="293">
        <v>40000</v>
      </c>
      <c r="K168" s="293">
        <v>60000</v>
      </c>
      <c r="L168" s="293">
        <v>66000</v>
      </c>
      <c r="M168" s="361"/>
      <c r="N168" s="564"/>
      <c r="O168" s="288"/>
      <c r="P168" s="273"/>
    </row>
    <row r="169" spans="2:16" ht="15.75" customHeight="1">
      <c r="B169" s="267"/>
      <c r="C169" s="285"/>
      <c r="D169" s="512" t="s">
        <v>50</v>
      </c>
      <c r="E169" s="513"/>
      <c r="F169" s="369"/>
      <c r="G169" s="293">
        <v>177.27</v>
      </c>
      <c r="H169" s="293">
        <f>G169*1.03</f>
        <v>182.58810000000003</v>
      </c>
      <c r="I169" s="293">
        <f>H169*1.03</f>
        <v>188.06574300000003</v>
      </c>
      <c r="J169" s="293">
        <f>I169*1.03</f>
        <v>193.70771529000004</v>
      </c>
      <c r="K169" s="293">
        <f>J169*1.03</f>
        <v>199.51894674870005</v>
      </c>
      <c r="L169" s="293">
        <f>K169*1.03</f>
        <v>205.50451515116106</v>
      </c>
      <c r="M169" s="361"/>
      <c r="N169" s="564"/>
      <c r="O169" s="288"/>
      <c r="P169" s="273"/>
    </row>
    <row r="170" spans="2:16" ht="15.75" customHeight="1">
      <c r="B170" s="267"/>
      <c r="C170" s="285"/>
      <c r="D170" s="512" t="s">
        <v>526</v>
      </c>
      <c r="E170" s="513"/>
      <c r="F170" s="25"/>
      <c r="G170" s="293"/>
      <c r="H170" s="293">
        <v>0</v>
      </c>
      <c r="I170" s="293">
        <v>0</v>
      </c>
      <c r="J170" s="293">
        <v>0</v>
      </c>
      <c r="K170" s="293">
        <v>0</v>
      </c>
      <c r="L170" s="293">
        <v>0</v>
      </c>
      <c r="M170" s="361"/>
      <c r="N170" s="564"/>
      <c r="O170" s="295"/>
      <c r="P170" s="273"/>
    </row>
    <row r="171" spans="2:16" ht="15.75" customHeight="1">
      <c r="B171" s="267"/>
      <c r="C171" s="285"/>
      <c r="D171" s="541" t="s">
        <v>478</v>
      </c>
      <c r="E171" s="542"/>
      <c r="F171" s="320"/>
      <c r="G171" s="293">
        <f>4076.8+889.92</f>
        <v>4966.72</v>
      </c>
      <c r="H171" s="293">
        <v>0</v>
      </c>
      <c r="I171" s="293">
        <v>0</v>
      </c>
      <c r="J171" s="293">
        <v>0</v>
      </c>
      <c r="K171" s="293">
        <v>0</v>
      </c>
      <c r="L171" s="293">
        <v>0</v>
      </c>
      <c r="M171" s="361"/>
      <c r="N171" s="564"/>
      <c r="O171" s="288"/>
      <c r="P171" s="273"/>
    </row>
    <row r="172" spans="2:16" ht="15.75" customHeight="1">
      <c r="B172" s="267"/>
      <c r="C172" s="285"/>
      <c r="D172" s="375"/>
      <c r="E172" s="376"/>
      <c r="F172" s="25"/>
      <c r="G172" s="301"/>
      <c r="H172" s="22"/>
      <c r="I172" s="22"/>
      <c r="J172" s="22"/>
      <c r="K172" s="22"/>
      <c r="L172" s="287"/>
      <c r="M172" s="271"/>
      <c r="N172" s="561"/>
      <c r="O172" s="295"/>
      <c r="P172" s="273"/>
    </row>
    <row r="173" spans="2:17" ht="15.75" customHeight="1">
      <c r="B173" s="267"/>
      <c r="C173" s="285"/>
      <c r="D173" s="514" t="s">
        <v>52</v>
      </c>
      <c r="E173" s="515"/>
      <c r="F173" s="24"/>
      <c r="G173" s="312">
        <f aca="true" t="shared" si="19" ref="G173:L173">SUM(G167:G171)</f>
        <v>5143.990000000001</v>
      </c>
      <c r="H173" s="312">
        <f t="shared" si="19"/>
        <v>5946.6309</v>
      </c>
      <c r="I173" s="312">
        <f t="shared" si="19"/>
        <v>6528.512823</v>
      </c>
      <c r="J173" s="312">
        <f t="shared" si="19"/>
        <v>47110.55907529</v>
      </c>
      <c r="K173" s="312">
        <f t="shared" si="19"/>
        <v>67692.77458674871</v>
      </c>
      <c r="L173" s="312">
        <f t="shared" si="19"/>
        <v>74275.16443515116</v>
      </c>
      <c r="M173" s="357"/>
      <c r="N173" s="562"/>
      <c r="O173" s="295"/>
      <c r="P173" s="273"/>
      <c r="Q173" s="326"/>
    </row>
    <row r="174" spans="2:16" ht="15.75" customHeight="1">
      <c r="B174" s="267"/>
      <c r="C174" s="285"/>
      <c r="D174" s="512"/>
      <c r="E174" s="513"/>
      <c r="F174" s="25"/>
      <c r="G174" s="301"/>
      <c r="H174" s="22"/>
      <c r="I174" s="22"/>
      <c r="J174" s="22"/>
      <c r="K174" s="22"/>
      <c r="L174" s="287"/>
      <c r="M174" s="271"/>
      <c r="N174" s="347"/>
      <c r="O174" s="295"/>
      <c r="P174" s="273"/>
    </row>
    <row r="175" spans="2:16" ht="15.75" customHeight="1">
      <c r="B175" s="267"/>
      <c r="C175" s="285"/>
      <c r="D175" s="530" t="s">
        <v>53</v>
      </c>
      <c r="E175" s="531"/>
      <c r="F175" s="24"/>
      <c r="G175" s="298">
        <f aca="true" t="shared" si="20" ref="G175:L175">G103+G115+G121+G127+G145+G164+G173</f>
        <v>1676490.1115</v>
      </c>
      <c r="H175" s="298">
        <f t="shared" si="20"/>
        <v>1437254.190921905</v>
      </c>
      <c r="I175" s="298">
        <f t="shared" si="20"/>
        <v>1514668.6069363093</v>
      </c>
      <c r="J175" s="298">
        <f t="shared" si="20"/>
        <v>1617709.7238560745</v>
      </c>
      <c r="K175" s="298">
        <f t="shared" si="20"/>
        <v>1750832.2399402696</v>
      </c>
      <c r="L175" s="298">
        <f t="shared" si="20"/>
        <v>1870041.9385116796</v>
      </c>
      <c r="M175" s="358"/>
      <c r="N175" s="347"/>
      <c r="O175" s="295"/>
      <c r="P175" s="273"/>
    </row>
    <row r="176" spans="2:16" ht="15.75" customHeight="1">
      <c r="B176" s="267"/>
      <c r="C176" s="285"/>
      <c r="D176" s="543"/>
      <c r="E176" s="544"/>
      <c r="F176" s="25"/>
      <c r="G176" s="301"/>
      <c r="H176" s="22"/>
      <c r="I176" s="22"/>
      <c r="J176" s="22"/>
      <c r="K176" s="22"/>
      <c r="L176" s="287"/>
      <c r="M176" s="271"/>
      <c r="N176" s="347"/>
      <c r="O176" s="295"/>
      <c r="P176" s="273"/>
    </row>
    <row r="177" spans="2:16" ht="15.75" customHeight="1" thickBot="1">
      <c r="B177" s="267"/>
      <c r="C177" s="285"/>
      <c r="D177" s="545" t="s">
        <v>504</v>
      </c>
      <c r="E177" s="546"/>
      <c r="F177" s="24"/>
      <c r="G177" s="312">
        <f aca="true" t="shared" si="21" ref="G177:L177">G59-G175</f>
        <v>4777.8884999998845</v>
      </c>
      <c r="H177" s="312">
        <f t="shared" si="21"/>
        <v>5097.613078095019</v>
      </c>
      <c r="I177" s="312">
        <f t="shared" si="21"/>
        <v>7465.176354672527</v>
      </c>
      <c r="J177" s="312">
        <f t="shared" si="21"/>
        <v>10159.636327469023</v>
      </c>
      <c r="K177" s="312">
        <f t="shared" si="21"/>
        <v>12310.154339638771</v>
      </c>
      <c r="L177" s="312">
        <f t="shared" si="21"/>
        <v>13809.639768888941</v>
      </c>
      <c r="M177" s="357"/>
      <c r="N177" s="347"/>
      <c r="O177" s="295"/>
      <c r="P177" s="273"/>
    </row>
    <row r="178" spans="2:16" ht="15" customHeight="1">
      <c r="B178" s="267"/>
      <c r="C178" s="328"/>
      <c r="D178" s="329"/>
      <c r="E178" s="2"/>
      <c r="F178" s="2"/>
      <c r="G178" s="327"/>
      <c r="H178" s="327"/>
      <c r="I178" s="327"/>
      <c r="J178" s="327"/>
      <c r="K178" s="327"/>
      <c r="L178" s="327"/>
      <c r="M178" s="327"/>
      <c r="N178" s="330"/>
      <c r="O178" s="308"/>
      <c r="P178" s="273"/>
    </row>
    <row r="179" spans="2:36" s="331" customFormat="1" ht="15" customHeight="1">
      <c r="B179" s="332"/>
      <c r="C179" s="268"/>
      <c r="D179" s="269"/>
      <c r="E179" s="25"/>
      <c r="F179" s="25"/>
      <c r="G179" s="333"/>
      <c r="H179" s="333"/>
      <c r="I179" s="333"/>
      <c r="J179" s="333"/>
      <c r="K179" s="333"/>
      <c r="L179" s="333"/>
      <c r="M179" s="333"/>
      <c r="N179" s="333"/>
      <c r="O179" s="333"/>
      <c r="P179" s="334"/>
      <c r="Q179" s="335"/>
      <c r="R179" s="336"/>
      <c r="S179" s="336"/>
      <c r="T179" s="336"/>
      <c r="U179" s="336"/>
      <c r="V179" s="336"/>
      <c r="W179" s="336"/>
      <c r="X179" s="336"/>
      <c r="Y179" s="336"/>
      <c r="Z179" s="336"/>
      <c r="AA179" s="336"/>
      <c r="AB179" s="336"/>
      <c r="AC179" s="336"/>
      <c r="AD179" s="336"/>
      <c r="AE179" s="336"/>
      <c r="AF179" s="336"/>
      <c r="AG179" s="336"/>
      <c r="AH179" s="336"/>
      <c r="AI179" s="336"/>
      <c r="AJ179" s="336"/>
    </row>
    <row r="180" spans="2:36" s="331" customFormat="1" ht="18" customHeight="1">
      <c r="B180" s="332"/>
      <c r="C180" s="268"/>
      <c r="D180" s="385" t="s">
        <v>54</v>
      </c>
      <c r="E180" s="25"/>
      <c r="F180" s="25"/>
      <c r="G180" s="333"/>
      <c r="H180" s="333"/>
      <c r="I180" s="333"/>
      <c r="J180" s="333"/>
      <c r="K180" s="333"/>
      <c r="L180" s="333"/>
      <c r="M180" s="333"/>
      <c r="N180" s="333"/>
      <c r="O180" s="333"/>
      <c r="P180" s="334"/>
      <c r="Q180" s="286"/>
      <c r="T180" s="551"/>
      <c r="U180" s="551"/>
      <c r="V180" s="336"/>
      <c r="W180" s="336"/>
      <c r="X180" s="336"/>
      <c r="Y180" s="336"/>
      <c r="Z180" s="336"/>
      <c r="AA180" s="336"/>
      <c r="AB180" s="336"/>
      <c r="AC180" s="336"/>
      <c r="AD180" s="336"/>
      <c r="AE180" s="336"/>
      <c r="AF180" s="336"/>
      <c r="AG180" s="336"/>
      <c r="AH180" s="336"/>
      <c r="AI180" s="336"/>
      <c r="AJ180" s="336"/>
    </row>
    <row r="181" spans="2:21" ht="30" customHeight="1">
      <c r="B181" s="267"/>
      <c r="C181" s="268"/>
      <c r="D181" s="539" t="s">
        <v>481</v>
      </c>
      <c r="E181" s="552"/>
      <c r="F181" s="552"/>
      <c r="G181" s="552"/>
      <c r="H181" s="552"/>
      <c r="I181" s="552"/>
      <c r="J181" s="552"/>
      <c r="K181" s="552"/>
      <c r="L181" s="552"/>
      <c r="M181" s="552"/>
      <c r="N181" s="552"/>
      <c r="O181" s="350"/>
      <c r="P181" s="351"/>
      <c r="Q181" s="386"/>
      <c r="T181" s="337"/>
      <c r="U181" s="286"/>
    </row>
    <row r="182" spans="2:21" ht="15.75" customHeight="1">
      <c r="B182" s="267"/>
      <c r="C182" s="268"/>
      <c r="D182" s="539" t="s">
        <v>551</v>
      </c>
      <c r="E182" s="552"/>
      <c r="F182" s="552"/>
      <c r="G182" s="552"/>
      <c r="H182" s="552"/>
      <c r="I182" s="552"/>
      <c r="J182" s="552"/>
      <c r="K182" s="552"/>
      <c r="L182" s="552"/>
      <c r="M182" s="552"/>
      <c r="N182" s="552"/>
      <c r="O182" s="350"/>
      <c r="P182" s="351"/>
      <c r="Q182" s="386"/>
      <c r="T182" s="337"/>
      <c r="U182" s="286"/>
    </row>
    <row r="183" spans="2:21" ht="30" customHeight="1">
      <c r="B183" s="267"/>
      <c r="C183" s="268"/>
      <c r="D183" s="539" t="s">
        <v>482</v>
      </c>
      <c r="E183" s="552"/>
      <c r="F183" s="552"/>
      <c r="G183" s="552"/>
      <c r="H183" s="552"/>
      <c r="I183" s="552"/>
      <c r="J183" s="552"/>
      <c r="K183" s="552"/>
      <c r="L183" s="552"/>
      <c r="M183" s="552"/>
      <c r="N183" s="552"/>
      <c r="O183" s="350"/>
      <c r="P183" s="351"/>
      <c r="Q183" s="386"/>
      <c r="T183" s="337"/>
      <c r="U183" s="286"/>
    </row>
    <row r="184" spans="2:17" ht="15.75" customHeight="1">
      <c r="B184" s="267"/>
      <c r="C184" s="268"/>
      <c r="D184" s="539" t="s">
        <v>483</v>
      </c>
      <c r="E184" s="552"/>
      <c r="F184" s="552"/>
      <c r="G184" s="552"/>
      <c r="H184" s="552"/>
      <c r="I184" s="552"/>
      <c r="J184" s="552"/>
      <c r="K184" s="552"/>
      <c r="L184" s="552"/>
      <c r="M184" s="552"/>
      <c r="N184" s="552"/>
      <c r="O184" s="350"/>
      <c r="P184" s="351"/>
      <c r="Q184" s="386"/>
    </row>
    <row r="185" spans="2:17" ht="15.75" customHeight="1">
      <c r="B185" s="267"/>
      <c r="C185" s="268"/>
      <c r="D185" s="539" t="s">
        <v>484</v>
      </c>
      <c r="E185" s="552"/>
      <c r="F185" s="552"/>
      <c r="G185" s="552"/>
      <c r="H185" s="552"/>
      <c r="I185" s="552"/>
      <c r="J185" s="552"/>
      <c r="K185" s="552"/>
      <c r="L185" s="552"/>
      <c r="M185" s="552"/>
      <c r="N185" s="552"/>
      <c r="O185" s="350"/>
      <c r="P185" s="351"/>
      <c r="Q185" s="386"/>
    </row>
    <row r="186" spans="2:17" ht="15.75" customHeight="1">
      <c r="B186" s="267"/>
      <c r="C186" s="314"/>
      <c r="D186" s="539" t="s">
        <v>527</v>
      </c>
      <c r="E186" s="540"/>
      <c r="F186" s="540"/>
      <c r="G186" s="540"/>
      <c r="H186" s="540"/>
      <c r="I186" s="540"/>
      <c r="J186" s="540"/>
      <c r="K186" s="540"/>
      <c r="L186" s="540"/>
      <c r="M186" s="540"/>
      <c r="N186" s="540"/>
      <c r="O186" s="350"/>
      <c r="P186" s="351"/>
      <c r="Q186" s="386"/>
    </row>
    <row r="187" spans="2:17" ht="42.75" customHeight="1">
      <c r="B187" s="267"/>
      <c r="C187" s="268"/>
      <c r="D187" s="539" t="s">
        <v>528</v>
      </c>
      <c r="E187" s="540"/>
      <c r="F187" s="540"/>
      <c r="G187" s="540"/>
      <c r="H187" s="540"/>
      <c r="I187" s="540"/>
      <c r="J187" s="540"/>
      <c r="K187" s="540"/>
      <c r="L187" s="540"/>
      <c r="M187" s="540"/>
      <c r="N187" s="540"/>
      <c r="O187" s="350"/>
      <c r="P187" s="351"/>
      <c r="Q187" s="386"/>
    </row>
    <row r="188" spans="2:16" ht="15" customHeight="1" thickBot="1">
      <c r="B188" s="338"/>
      <c r="C188" s="339"/>
      <c r="D188" s="340"/>
      <c r="E188" s="341"/>
      <c r="F188" s="341"/>
      <c r="G188" s="341"/>
      <c r="H188" s="341"/>
      <c r="I188" s="341"/>
      <c r="J188" s="341"/>
      <c r="K188" s="341"/>
      <c r="L188" s="342"/>
      <c r="M188" s="342"/>
      <c r="N188" s="343"/>
      <c r="O188" s="343"/>
      <c r="P188" s="344"/>
    </row>
  </sheetData>
  <sheetProtection password="BDDB" sheet="1" objects="1" scenarios="1" selectLockedCells="1"/>
  <mergeCells count="164">
    <mergeCell ref="D21:E21"/>
    <mergeCell ref="N17:N31"/>
    <mergeCell ref="N34:N43"/>
    <mergeCell ref="N81:N91"/>
    <mergeCell ref="N46:N57"/>
    <mergeCell ref="N96:N101"/>
    <mergeCell ref="D50:E50"/>
    <mergeCell ref="D51:E51"/>
    <mergeCell ref="D52:E52"/>
    <mergeCell ref="D53:E53"/>
    <mergeCell ref="D186:N186"/>
    <mergeCell ref="D181:N181"/>
    <mergeCell ref="N130:N145"/>
    <mergeCell ref="N148:N164"/>
    <mergeCell ref="N167:N173"/>
    <mergeCell ref="N106:N115"/>
    <mergeCell ref="N118:N121"/>
    <mergeCell ref="N124:N127"/>
    <mergeCell ref="D182:N182"/>
    <mergeCell ref="D183:N183"/>
    <mergeCell ref="D184:N184"/>
    <mergeCell ref="D185:N185"/>
    <mergeCell ref="D2:N2"/>
    <mergeCell ref="D13:E14"/>
    <mergeCell ref="G13:G14"/>
    <mergeCell ref="H13:H14"/>
    <mergeCell ref="I13:I14"/>
    <mergeCell ref="J13:J14"/>
    <mergeCell ref="K13:K14"/>
    <mergeCell ref="L13:L14"/>
    <mergeCell ref="D10:N10"/>
    <mergeCell ref="N13:N14"/>
    <mergeCell ref="T180:U180"/>
    <mergeCell ref="D166:E166"/>
    <mergeCell ref="D167:E167"/>
    <mergeCell ref="D161:E161"/>
    <mergeCell ref="D162:E162"/>
    <mergeCell ref="D164:E164"/>
    <mergeCell ref="D174:E174"/>
    <mergeCell ref="D147:E147"/>
    <mergeCell ref="D148:E148"/>
    <mergeCell ref="D149:E149"/>
    <mergeCell ref="D175:E175"/>
    <mergeCell ref="D176:E176"/>
    <mergeCell ref="D177:E177"/>
    <mergeCell ref="D170:E170"/>
    <mergeCell ref="D171:E171"/>
    <mergeCell ref="D173:E173"/>
    <mergeCell ref="D142:E142"/>
    <mergeCell ref="D187:N187"/>
    <mergeCell ref="D156:E156"/>
    <mergeCell ref="D157:E157"/>
    <mergeCell ref="D145:E145"/>
    <mergeCell ref="D158:E158"/>
    <mergeCell ref="D159:E159"/>
    <mergeCell ref="D160:E160"/>
    <mergeCell ref="D168:E168"/>
    <mergeCell ref="D169:E169"/>
    <mergeCell ref="D133:E133"/>
    <mergeCell ref="D134:E134"/>
    <mergeCell ref="D135:E135"/>
    <mergeCell ref="D136:E136"/>
    <mergeCell ref="D137:E137"/>
    <mergeCell ref="D143:E143"/>
    <mergeCell ref="D138:E138"/>
    <mergeCell ref="D139:E139"/>
    <mergeCell ref="D140:E140"/>
    <mergeCell ref="D141:E141"/>
    <mergeCell ref="D129:E129"/>
    <mergeCell ref="D130:E130"/>
    <mergeCell ref="D131:E131"/>
    <mergeCell ref="D132:E132"/>
    <mergeCell ref="D8:N8"/>
    <mergeCell ref="D124:E124"/>
    <mergeCell ref="D125:E125"/>
    <mergeCell ref="D127:E127"/>
    <mergeCell ref="D119:E119"/>
    <mergeCell ref="D121:E121"/>
    <mergeCell ref="D123:E123"/>
    <mergeCell ref="D117:E117"/>
    <mergeCell ref="D118:E118"/>
    <mergeCell ref="D111:E111"/>
    <mergeCell ref="D112:E112"/>
    <mergeCell ref="D113:E113"/>
    <mergeCell ref="D115:E115"/>
    <mergeCell ref="D105:E105"/>
    <mergeCell ref="D106:E106"/>
    <mergeCell ref="D107:E107"/>
    <mergeCell ref="D108:E108"/>
    <mergeCell ref="D109:E109"/>
    <mergeCell ref="D110:E110"/>
    <mergeCell ref="D99:E99"/>
    <mergeCell ref="D101:E101"/>
    <mergeCell ref="D103:E103"/>
    <mergeCell ref="D93:E93"/>
    <mergeCell ref="D95:E95"/>
    <mergeCell ref="D96:E96"/>
    <mergeCell ref="D97:E97"/>
    <mergeCell ref="D98:E98"/>
    <mergeCell ref="D87:E87"/>
    <mergeCell ref="D88:E88"/>
    <mergeCell ref="D89:E89"/>
    <mergeCell ref="D91:E91"/>
    <mergeCell ref="D81:E81"/>
    <mergeCell ref="D82:E82"/>
    <mergeCell ref="D83:E83"/>
    <mergeCell ref="D84:E84"/>
    <mergeCell ref="D85:E85"/>
    <mergeCell ref="D86:E86"/>
    <mergeCell ref="D75:E75"/>
    <mergeCell ref="D76:E76"/>
    <mergeCell ref="D78:E78"/>
    <mergeCell ref="D80:E80"/>
    <mergeCell ref="D70:E70"/>
    <mergeCell ref="D72:E72"/>
    <mergeCell ref="D73:E73"/>
    <mergeCell ref="D74:E74"/>
    <mergeCell ref="D66:E66"/>
    <mergeCell ref="D67:E67"/>
    <mergeCell ref="D68:E68"/>
    <mergeCell ref="D56:E56"/>
    <mergeCell ref="D57:E57"/>
    <mergeCell ref="D58:E58"/>
    <mergeCell ref="D59:E59"/>
    <mergeCell ref="D61:E62"/>
    <mergeCell ref="D47:E47"/>
    <mergeCell ref="D48:E48"/>
    <mergeCell ref="D49:E49"/>
    <mergeCell ref="D55:E55"/>
    <mergeCell ref="D64:E64"/>
    <mergeCell ref="D65:E65"/>
    <mergeCell ref="D54:E54"/>
    <mergeCell ref="D41:E41"/>
    <mergeCell ref="D42:E42"/>
    <mergeCell ref="D43:E43"/>
    <mergeCell ref="D44:E44"/>
    <mergeCell ref="D45:E45"/>
    <mergeCell ref="D46:E46"/>
    <mergeCell ref="D36:E36"/>
    <mergeCell ref="D37:E37"/>
    <mergeCell ref="D38:E38"/>
    <mergeCell ref="D39:E39"/>
    <mergeCell ref="D33:E33"/>
    <mergeCell ref="D40:E40"/>
    <mergeCell ref="D19:E19"/>
    <mergeCell ref="D29:E29"/>
    <mergeCell ref="D34:E34"/>
    <mergeCell ref="D35:E35"/>
    <mergeCell ref="D25:E25"/>
    <mergeCell ref="D26:E26"/>
    <mergeCell ref="D20:E20"/>
    <mergeCell ref="D22:E22"/>
    <mergeCell ref="D23:E23"/>
    <mergeCell ref="D24:E24"/>
    <mergeCell ref="D18:E18"/>
    <mergeCell ref="D30:E30"/>
    <mergeCell ref="D31:E31"/>
    <mergeCell ref="D32:E32"/>
    <mergeCell ref="H105:L105"/>
    <mergeCell ref="D16:E16"/>
    <mergeCell ref="D17:E17"/>
    <mergeCell ref="D27:E27"/>
    <mergeCell ref="D28:E28"/>
    <mergeCell ref="H33:L33"/>
  </mergeCells>
  <conditionalFormatting sqref="G94:M94">
    <cfRule type="cellIs" priority="2" dxfId="53" operator="equal" stopIfTrue="1">
      <formula>"ERROR"</formula>
    </cfRule>
    <cfRule type="cellIs" priority="4" dxfId="49" operator="equal" stopIfTrue="1">
      <formula>"ERROR"</formula>
    </cfRule>
  </conditionalFormatting>
  <conditionalFormatting sqref="G104:M104">
    <cfRule type="cellIs" priority="3" dxfId="53" operator="equal" stopIfTrue="1">
      <formula>"ERROR"</formula>
    </cfRule>
  </conditionalFormatting>
  <conditionalFormatting sqref="G177:M177">
    <cfRule type="cellIs" priority="1" dxfId="54" operator="lessThan" stopIfTrue="1">
      <formula>0</formula>
    </cfRule>
  </conditionalFormatting>
  <printOptions/>
  <pageMargins left="0.7" right="0.7" top="0.75" bottom="0.75" header="0.3" footer="0.3"/>
  <pageSetup horizontalDpi="1200" verticalDpi="1200" orientation="portrait" scale="91" r:id="rId1"/>
</worksheet>
</file>

<file path=xl/worksheets/sheet5.xml><?xml version="1.0" encoding="utf-8"?>
<worksheet xmlns="http://schemas.openxmlformats.org/spreadsheetml/2006/main" xmlns:r="http://schemas.openxmlformats.org/officeDocument/2006/relationships">
  <sheetPr>
    <tabColor rgb="FFFF0000"/>
  </sheetPr>
  <dimension ref="B2:N306"/>
  <sheetViews>
    <sheetView zoomScalePageLayoutView="0" workbookViewId="0" topLeftCell="A1">
      <selection activeCell="P14" sqref="P14"/>
    </sheetView>
  </sheetViews>
  <sheetFormatPr defaultColWidth="9.140625" defaultRowHeight="15"/>
  <cols>
    <col min="1" max="2" width="9.140625" style="4" customWidth="1"/>
    <col min="3" max="3" width="33.00390625" style="4" customWidth="1"/>
    <col min="4" max="4" width="15.8515625" style="4" customWidth="1"/>
    <col min="5" max="5" width="16.28125" style="4" customWidth="1"/>
    <col min="6" max="6" width="16.00390625" style="4" customWidth="1"/>
    <col min="7" max="7" width="17.140625" style="4" customWidth="1"/>
    <col min="8" max="8" width="4.57421875" style="4" customWidth="1"/>
    <col min="9" max="9" width="20.00390625" style="4" customWidth="1"/>
    <col min="10" max="10" width="24.421875" style="4" customWidth="1"/>
    <col min="11" max="11" width="10.140625" style="4" customWidth="1"/>
    <col min="12" max="13" width="9.140625" style="4" customWidth="1"/>
    <col min="14" max="14" width="12.00390625" style="4" bestFit="1" customWidth="1"/>
    <col min="15" max="16384" width="9.140625" style="4" customWidth="1"/>
  </cols>
  <sheetData>
    <row r="2" spans="2:10" ht="12.75">
      <c r="B2" s="419" t="s">
        <v>101</v>
      </c>
      <c r="C2" s="420" t="s">
        <v>102</v>
      </c>
      <c r="D2" s="6"/>
      <c r="E2" s="6"/>
      <c r="F2" s="6"/>
      <c r="G2" s="7"/>
      <c r="H2" s="7"/>
      <c r="I2" s="7"/>
      <c r="J2" s="8"/>
    </row>
    <row r="3" spans="2:10" ht="12.75">
      <c r="B3" s="421"/>
      <c r="C3" s="422" t="s">
        <v>103</v>
      </c>
      <c r="D3" s="423"/>
      <c r="E3" s="423"/>
      <c r="F3" s="423"/>
      <c r="G3" s="424"/>
      <c r="H3" s="424"/>
      <c r="I3" s="424"/>
      <c r="J3" s="9"/>
    </row>
    <row r="4" spans="2:10" ht="12.75">
      <c r="B4" s="421"/>
      <c r="C4" s="422" t="s">
        <v>104</v>
      </c>
      <c r="D4" s="423"/>
      <c r="E4" s="423"/>
      <c r="F4" s="423"/>
      <c r="G4" s="424"/>
      <c r="H4" s="424"/>
      <c r="I4" s="424"/>
      <c r="J4" s="9"/>
    </row>
    <row r="5" spans="2:10" ht="12.75">
      <c r="B5" s="421"/>
      <c r="C5" s="422" t="s">
        <v>105</v>
      </c>
      <c r="D5" s="423"/>
      <c r="E5" s="423"/>
      <c r="F5" s="423"/>
      <c r="G5" s="424"/>
      <c r="H5" s="424"/>
      <c r="I5" s="424"/>
      <c r="J5" s="9"/>
    </row>
    <row r="6" spans="2:10" ht="12.75">
      <c r="B6" s="421"/>
      <c r="C6" s="422" t="s">
        <v>106</v>
      </c>
      <c r="D6" s="423"/>
      <c r="E6" s="423"/>
      <c r="F6" s="423"/>
      <c r="G6" s="424"/>
      <c r="H6" s="424"/>
      <c r="I6" s="424"/>
      <c r="J6" s="9"/>
    </row>
    <row r="7" spans="2:10" ht="12.75">
      <c r="B7" s="421"/>
      <c r="C7" s="422" t="s">
        <v>107</v>
      </c>
      <c r="D7" s="423"/>
      <c r="E7" s="423"/>
      <c r="F7" s="423"/>
      <c r="G7" s="424"/>
      <c r="H7" s="424"/>
      <c r="I7" s="424"/>
      <c r="J7" s="9"/>
    </row>
    <row r="8" spans="2:10" ht="12.75">
      <c r="B8" s="421"/>
      <c r="C8" s="422" t="s">
        <v>108</v>
      </c>
      <c r="D8" s="423"/>
      <c r="E8" s="423"/>
      <c r="F8" s="423"/>
      <c r="G8" s="424"/>
      <c r="H8" s="424"/>
      <c r="I8" s="424"/>
      <c r="J8" s="9"/>
    </row>
    <row r="9" spans="2:10" ht="12.75">
      <c r="B9" s="425"/>
      <c r="C9" s="426" t="s">
        <v>109</v>
      </c>
      <c r="D9" s="10"/>
      <c r="E9" s="10"/>
      <c r="F9" s="10"/>
      <c r="G9" s="11"/>
      <c r="H9" s="11"/>
      <c r="I9" s="11"/>
      <c r="J9" s="12"/>
    </row>
    <row r="10" ht="13.5" thickBot="1"/>
    <row r="11" spans="2:10" ht="53.25" customHeight="1" thickBot="1">
      <c r="B11" s="569" t="s">
        <v>553</v>
      </c>
      <c r="C11" s="570"/>
      <c r="D11" s="570"/>
      <c r="E11" s="570"/>
      <c r="F11" s="570"/>
      <c r="G11" s="570"/>
      <c r="H11" s="570"/>
      <c r="I11" s="570"/>
      <c r="J11" s="571"/>
    </row>
    <row r="12" spans="2:10" ht="14.25" customHeight="1">
      <c r="B12" s="15"/>
      <c r="C12" s="16"/>
      <c r="D12" s="16"/>
      <c r="E12" s="16"/>
      <c r="F12" s="16"/>
      <c r="G12" s="16"/>
      <c r="H12" s="16"/>
      <c r="I12" s="16"/>
      <c r="J12" s="16"/>
    </row>
    <row r="13" spans="3:10" ht="12.75">
      <c r="C13" s="572" t="s">
        <v>100</v>
      </c>
      <c r="D13" s="572"/>
      <c r="E13" s="572"/>
      <c r="F13" s="572"/>
      <c r="G13" s="572"/>
      <c r="H13" s="427"/>
      <c r="I13" s="427"/>
      <c r="J13" s="427"/>
    </row>
    <row r="14" spans="4:10" ht="12.75">
      <c r="D14" s="418"/>
      <c r="E14" s="418"/>
      <c r="F14" s="418"/>
      <c r="H14" s="428"/>
      <c r="I14" s="428"/>
      <c r="J14" s="428"/>
    </row>
    <row r="15" spans="2:10" s="418" customFormat="1" ht="12.75">
      <c r="B15" s="429" t="s">
        <v>554</v>
      </c>
      <c r="C15" s="430" t="s">
        <v>99</v>
      </c>
      <c r="D15" s="13" t="s">
        <v>555</v>
      </c>
      <c r="E15" s="431" t="s">
        <v>556</v>
      </c>
      <c r="F15" s="431" t="s">
        <v>557</v>
      </c>
      <c r="G15" s="418" t="s">
        <v>558</v>
      </c>
      <c r="H15" s="432"/>
      <c r="I15" s="433"/>
      <c r="J15" s="434"/>
    </row>
    <row r="16" spans="2:11" ht="12.75">
      <c r="B16" s="435"/>
      <c r="C16" s="5" t="s">
        <v>110</v>
      </c>
      <c r="D16" s="3"/>
      <c r="E16" s="436"/>
      <c r="F16" s="437"/>
      <c r="G16" s="18"/>
      <c r="H16" s="428"/>
      <c r="I16" s="438" t="s">
        <v>412</v>
      </c>
      <c r="J16" s="439" t="s">
        <v>559</v>
      </c>
      <c r="K16" s="440" t="s">
        <v>560</v>
      </c>
    </row>
    <row r="17" spans="2:11" ht="12.75">
      <c r="B17" s="441" t="s">
        <v>561</v>
      </c>
      <c r="C17" s="442" t="s">
        <v>111</v>
      </c>
      <c r="D17" s="443">
        <v>0.0725</v>
      </c>
      <c r="E17" s="444">
        <f aca="true" t="shared" si="0" ref="E17:E80">(D17*$J$18)+$J$17</f>
        <v>6878.7675</v>
      </c>
      <c r="F17" s="443">
        <v>0.0725</v>
      </c>
      <c r="G17" s="444">
        <f>(F17*$K$18)+$K$17</f>
        <v>6972.74</v>
      </c>
      <c r="I17" s="445" t="s">
        <v>410</v>
      </c>
      <c r="J17" s="446">
        <v>6590</v>
      </c>
      <c r="K17" s="447">
        <v>6681</v>
      </c>
    </row>
    <row r="18" spans="2:11" ht="12.75">
      <c r="B18" s="441" t="s">
        <v>562</v>
      </c>
      <c r="C18" s="442" t="s">
        <v>112</v>
      </c>
      <c r="D18" s="443">
        <v>0.2134</v>
      </c>
      <c r="E18" s="444">
        <f t="shared" si="0"/>
        <v>7439.9722</v>
      </c>
      <c r="F18" s="443">
        <v>0.2134</v>
      </c>
      <c r="G18" s="444">
        <f aca="true" t="shared" si="1" ref="G18:G82">(F18*$K$18)+$K$17</f>
        <v>7539.7216</v>
      </c>
      <c r="I18" s="20" t="s">
        <v>409</v>
      </c>
      <c r="J18" s="448">
        <v>3983</v>
      </c>
      <c r="K18" s="19">
        <v>4024</v>
      </c>
    </row>
    <row r="19" spans="2:12" ht="12.75">
      <c r="B19" s="441" t="s">
        <v>563</v>
      </c>
      <c r="C19" s="442" t="s">
        <v>113</v>
      </c>
      <c r="D19" s="443">
        <v>0.4028</v>
      </c>
      <c r="E19" s="444">
        <f t="shared" si="0"/>
        <v>8194.3524</v>
      </c>
      <c r="F19" s="443">
        <v>0.4028</v>
      </c>
      <c r="G19" s="444">
        <f t="shared" si="1"/>
        <v>8301.8672</v>
      </c>
      <c r="I19" s="20" t="s">
        <v>411</v>
      </c>
      <c r="J19" s="448"/>
      <c r="K19" s="19"/>
      <c r="L19" s="4" t="s">
        <v>414</v>
      </c>
    </row>
    <row r="20" spans="2:12" ht="12.75">
      <c r="B20" s="441" t="s">
        <v>564</v>
      </c>
      <c r="C20" s="442" t="s">
        <v>114</v>
      </c>
      <c r="D20" s="443">
        <v>0.1364</v>
      </c>
      <c r="E20" s="444">
        <f t="shared" si="0"/>
        <v>7133.2812</v>
      </c>
      <c r="F20" s="443">
        <v>0.1364</v>
      </c>
      <c r="G20" s="444">
        <f t="shared" si="1"/>
        <v>7229.8736</v>
      </c>
      <c r="I20" s="20" t="s">
        <v>565</v>
      </c>
      <c r="J20" s="448">
        <v>2790</v>
      </c>
      <c r="K20" s="19">
        <v>2930</v>
      </c>
      <c r="L20" s="4" t="s">
        <v>415</v>
      </c>
    </row>
    <row r="21" spans="2:11" ht="12.75">
      <c r="B21" s="441" t="s">
        <v>566</v>
      </c>
      <c r="C21" s="442" t="s">
        <v>115</v>
      </c>
      <c r="D21" s="443">
        <v>0.1484</v>
      </c>
      <c r="E21" s="444">
        <f t="shared" si="0"/>
        <v>7181.0772</v>
      </c>
      <c r="F21" s="443">
        <v>0.1484</v>
      </c>
      <c r="G21" s="444">
        <f t="shared" si="1"/>
        <v>7278.1616</v>
      </c>
      <c r="I21" s="20" t="s">
        <v>96</v>
      </c>
      <c r="J21" s="449">
        <v>6750</v>
      </c>
      <c r="K21" s="450">
        <v>6750</v>
      </c>
    </row>
    <row r="22" spans="2:11" ht="12.75">
      <c r="B22" s="441" t="s">
        <v>567</v>
      </c>
      <c r="C22" s="442" t="s">
        <v>116</v>
      </c>
      <c r="D22" s="443">
        <v>0.0775</v>
      </c>
      <c r="E22" s="444">
        <f t="shared" si="0"/>
        <v>6898.6825</v>
      </c>
      <c r="F22" s="443">
        <v>0.0775</v>
      </c>
      <c r="G22" s="444">
        <f t="shared" si="1"/>
        <v>6992.86</v>
      </c>
      <c r="H22" s="14"/>
      <c r="I22" s="451" t="s">
        <v>568</v>
      </c>
      <c r="J22" s="450">
        <v>1400</v>
      </c>
      <c r="K22" s="452">
        <v>1400</v>
      </c>
    </row>
    <row r="23" spans="2:14" ht="12.75">
      <c r="B23" s="441" t="s">
        <v>569</v>
      </c>
      <c r="C23" s="442" t="s">
        <v>117</v>
      </c>
      <c r="D23" s="443">
        <v>0.0512</v>
      </c>
      <c r="E23" s="444">
        <f t="shared" si="0"/>
        <v>6793.9296</v>
      </c>
      <c r="F23" s="443">
        <v>0.0512</v>
      </c>
      <c r="G23" s="444">
        <f t="shared" si="1"/>
        <v>6887.0288</v>
      </c>
      <c r="I23" s="453" t="s">
        <v>16</v>
      </c>
      <c r="J23" s="454">
        <v>150</v>
      </c>
      <c r="K23" s="455">
        <v>150</v>
      </c>
      <c r="N23" s="17"/>
    </row>
    <row r="24" spans="2:14" ht="12.75">
      <c r="B24" s="441" t="s">
        <v>570</v>
      </c>
      <c r="C24" s="442" t="s">
        <v>118</v>
      </c>
      <c r="D24" s="443">
        <v>0.1317</v>
      </c>
      <c r="E24" s="444">
        <f t="shared" si="0"/>
        <v>7114.5611</v>
      </c>
      <c r="F24" s="443">
        <v>0.1317</v>
      </c>
      <c r="G24" s="444">
        <f t="shared" si="1"/>
        <v>7210.9608</v>
      </c>
      <c r="N24" s="17"/>
    </row>
    <row r="25" spans="2:9" ht="12.75">
      <c r="B25" s="441" t="s">
        <v>571</v>
      </c>
      <c r="C25" s="442" t="s">
        <v>119</v>
      </c>
      <c r="D25" s="443">
        <v>0.0626</v>
      </c>
      <c r="E25" s="444">
        <f t="shared" si="0"/>
        <v>6839.3358</v>
      </c>
      <c r="F25" s="443">
        <v>0.0626</v>
      </c>
      <c r="G25" s="444">
        <f t="shared" si="1"/>
        <v>6932.9024</v>
      </c>
      <c r="I25" s="4" t="s">
        <v>413</v>
      </c>
    </row>
    <row r="26" spans="2:7" ht="12.75">
      <c r="B26" s="441" t="s">
        <v>572</v>
      </c>
      <c r="C26" s="442" t="s">
        <v>120</v>
      </c>
      <c r="D26" s="443">
        <v>0.0975</v>
      </c>
      <c r="E26" s="444">
        <f t="shared" si="0"/>
        <v>6978.3425</v>
      </c>
      <c r="F26" s="443">
        <v>0.0975</v>
      </c>
      <c r="G26" s="444">
        <f t="shared" si="1"/>
        <v>7073.34</v>
      </c>
    </row>
    <row r="27" spans="2:10" ht="15">
      <c r="B27" s="441" t="s">
        <v>573</v>
      </c>
      <c r="C27" s="442" t="s">
        <v>121</v>
      </c>
      <c r="D27" s="443">
        <v>0.2855</v>
      </c>
      <c r="E27" s="444">
        <f t="shared" si="0"/>
        <v>7727.1465</v>
      </c>
      <c r="F27" s="443">
        <v>0.2855</v>
      </c>
      <c r="G27" s="444">
        <f t="shared" si="1"/>
        <v>7829.852</v>
      </c>
      <c r="J27" s="247"/>
    </row>
    <row r="28" spans="2:10" ht="12.75">
      <c r="B28" s="441" t="s">
        <v>574</v>
      </c>
      <c r="C28" s="442" t="s">
        <v>122</v>
      </c>
      <c r="D28" s="443">
        <v>0.1659</v>
      </c>
      <c r="E28" s="444">
        <f t="shared" si="0"/>
        <v>7250.7797</v>
      </c>
      <c r="F28" s="443">
        <v>0.1659</v>
      </c>
      <c r="G28" s="444">
        <f t="shared" si="1"/>
        <v>7348.5815999999995</v>
      </c>
      <c r="J28" s="4" t="s">
        <v>426</v>
      </c>
    </row>
    <row r="29" spans="2:10" ht="12.75">
      <c r="B29" s="441" t="s">
        <v>575</v>
      </c>
      <c r="C29" s="442" t="s">
        <v>123</v>
      </c>
      <c r="D29" s="443">
        <v>0.2284</v>
      </c>
      <c r="E29" s="444">
        <f t="shared" si="0"/>
        <v>7499.7172</v>
      </c>
      <c r="F29" s="443">
        <v>0.2284</v>
      </c>
      <c r="G29" s="444">
        <f t="shared" si="1"/>
        <v>7600.0815999999995</v>
      </c>
      <c r="J29" s="4" t="s">
        <v>400</v>
      </c>
    </row>
    <row r="30" spans="2:10" ht="12.75">
      <c r="B30" s="441" t="s">
        <v>576</v>
      </c>
      <c r="C30" s="442" t="s">
        <v>124</v>
      </c>
      <c r="D30" s="443">
        <v>0.1349</v>
      </c>
      <c r="E30" s="444">
        <f t="shared" si="0"/>
        <v>7127.3067</v>
      </c>
      <c r="F30" s="443">
        <v>0.1349</v>
      </c>
      <c r="G30" s="444">
        <f t="shared" si="1"/>
        <v>7223.8376</v>
      </c>
      <c r="J30" s="4" t="s">
        <v>424</v>
      </c>
    </row>
    <row r="31" spans="2:10" ht="12.75">
      <c r="B31" s="441" t="s">
        <v>577</v>
      </c>
      <c r="C31" s="442" t="s">
        <v>125</v>
      </c>
      <c r="D31" s="443">
        <v>0.1042</v>
      </c>
      <c r="E31" s="444">
        <f t="shared" si="0"/>
        <v>7005.0286</v>
      </c>
      <c r="F31" s="443">
        <v>0.1042</v>
      </c>
      <c r="G31" s="444">
        <f t="shared" si="1"/>
        <v>7100.3008</v>
      </c>
      <c r="J31" s="4" t="s">
        <v>425</v>
      </c>
    </row>
    <row r="32" spans="2:7" ht="12.75">
      <c r="B32" s="441" t="s">
        <v>578</v>
      </c>
      <c r="C32" s="442" t="s">
        <v>579</v>
      </c>
      <c r="D32" s="443">
        <v>0.0734</v>
      </c>
      <c r="E32" s="444">
        <f t="shared" si="0"/>
        <v>6882.3522</v>
      </c>
      <c r="F32" s="443">
        <v>0.0734</v>
      </c>
      <c r="G32" s="444">
        <f t="shared" si="1"/>
        <v>6976.3616</v>
      </c>
    </row>
    <row r="33" spans="2:7" ht="12.75">
      <c r="B33" s="441" t="s">
        <v>580</v>
      </c>
      <c r="C33" s="442" t="s">
        <v>126</v>
      </c>
      <c r="D33" s="443">
        <v>0.0723</v>
      </c>
      <c r="E33" s="444">
        <f t="shared" si="0"/>
        <v>6877.9709</v>
      </c>
      <c r="F33" s="443">
        <v>0.0723</v>
      </c>
      <c r="G33" s="444">
        <f t="shared" si="1"/>
        <v>6971.9352</v>
      </c>
    </row>
    <row r="34" spans="2:7" ht="12.75">
      <c r="B34" s="441" t="s">
        <v>581</v>
      </c>
      <c r="C34" s="442" t="s">
        <v>127</v>
      </c>
      <c r="D34" s="443">
        <v>0.1142</v>
      </c>
      <c r="E34" s="444">
        <f t="shared" si="0"/>
        <v>7044.8586</v>
      </c>
      <c r="F34" s="443">
        <v>0.1142</v>
      </c>
      <c r="G34" s="444">
        <f t="shared" si="1"/>
        <v>7140.5408</v>
      </c>
    </row>
    <row r="35" spans="2:7" ht="12.75">
      <c r="B35" s="441" t="s">
        <v>582</v>
      </c>
      <c r="C35" s="442" t="s">
        <v>128</v>
      </c>
      <c r="D35" s="443">
        <v>0.0567</v>
      </c>
      <c r="E35" s="444">
        <f t="shared" si="0"/>
        <v>6815.8361</v>
      </c>
      <c r="F35" s="443">
        <v>0.0567</v>
      </c>
      <c r="G35" s="444">
        <f t="shared" si="1"/>
        <v>6909.1608</v>
      </c>
    </row>
    <row r="36" spans="2:7" ht="12.75">
      <c r="B36" s="441" t="s">
        <v>583</v>
      </c>
      <c r="C36" s="442" t="s">
        <v>129</v>
      </c>
      <c r="D36" s="443">
        <v>0.1381</v>
      </c>
      <c r="E36" s="444">
        <f t="shared" si="0"/>
        <v>7140.0523</v>
      </c>
      <c r="F36" s="443">
        <v>0.1381</v>
      </c>
      <c r="G36" s="444">
        <f t="shared" si="1"/>
        <v>7236.7144</v>
      </c>
    </row>
    <row r="37" spans="2:7" ht="12.75">
      <c r="B37" s="441" t="s">
        <v>584</v>
      </c>
      <c r="C37" s="442" t="s">
        <v>130</v>
      </c>
      <c r="D37" s="443">
        <v>0.1538</v>
      </c>
      <c r="E37" s="444">
        <f t="shared" si="0"/>
        <v>7202.5854</v>
      </c>
      <c r="F37" s="443">
        <v>0.1538</v>
      </c>
      <c r="G37" s="444">
        <f t="shared" si="1"/>
        <v>7299.8912</v>
      </c>
    </row>
    <row r="38" spans="2:7" ht="12.75">
      <c r="B38" s="441" t="s">
        <v>585</v>
      </c>
      <c r="C38" s="456" t="s">
        <v>131</v>
      </c>
      <c r="D38" s="443">
        <v>0.3636</v>
      </c>
      <c r="E38" s="444">
        <f t="shared" si="0"/>
        <v>8038.2188</v>
      </c>
      <c r="F38" s="443">
        <v>0.3636</v>
      </c>
      <c r="G38" s="444">
        <f t="shared" si="1"/>
        <v>8144.1264</v>
      </c>
    </row>
    <row r="39" spans="2:7" ht="12.75">
      <c r="B39" s="441" t="s">
        <v>586</v>
      </c>
      <c r="C39" s="442" t="s">
        <v>132</v>
      </c>
      <c r="D39" s="443">
        <v>0.0232</v>
      </c>
      <c r="E39" s="444">
        <f t="shared" si="0"/>
        <v>6682.4056</v>
      </c>
      <c r="F39" s="443">
        <v>0.0232</v>
      </c>
      <c r="G39" s="444">
        <f t="shared" si="1"/>
        <v>6774.3568</v>
      </c>
    </row>
    <row r="40" spans="2:7" ht="12.75">
      <c r="B40" s="441" t="s">
        <v>587</v>
      </c>
      <c r="C40" s="442" t="s">
        <v>133</v>
      </c>
      <c r="D40" s="443">
        <v>0.121</v>
      </c>
      <c r="E40" s="444">
        <f t="shared" si="0"/>
        <v>7071.943</v>
      </c>
      <c r="F40" s="443">
        <v>0.121</v>
      </c>
      <c r="G40" s="444">
        <f t="shared" si="1"/>
        <v>7167.904</v>
      </c>
    </row>
    <row r="41" spans="2:7" ht="12.75">
      <c r="B41" s="441" t="s">
        <v>588</v>
      </c>
      <c r="C41" s="442" t="s">
        <v>134</v>
      </c>
      <c r="D41" s="443">
        <v>0.1976</v>
      </c>
      <c r="E41" s="444">
        <f t="shared" si="0"/>
        <v>7377.0408</v>
      </c>
      <c r="F41" s="443">
        <v>0.1976</v>
      </c>
      <c r="G41" s="444">
        <f t="shared" si="1"/>
        <v>7476.1424</v>
      </c>
    </row>
    <row r="42" spans="2:7" ht="12.75">
      <c r="B42" s="441" t="s">
        <v>589</v>
      </c>
      <c r="C42" s="442" t="s">
        <v>135</v>
      </c>
      <c r="D42" s="443">
        <v>0.0646</v>
      </c>
      <c r="E42" s="444">
        <f t="shared" si="0"/>
        <v>6847.3018</v>
      </c>
      <c r="F42" s="443">
        <v>0.0646</v>
      </c>
      <c r="G42" s="444">
        <f t="shared" si="1"/>
        <v>6940.9504</v>
      </c>
    </row>
    <row r="43" spans="2:7" ht="12.75">
      <c r="B43" s="441" t="s">
        <v>590</v>
      </c>
      <c r="C43" s="442" t="s">
        <v>136</v>
      </c>
      <c r="D43" s="443">
        <v>0.123</v>
      </c>
      <c r="E43" s="444">
        <f t="shared" si="0"/>
        <v>7079.909</v>
      </c>
      <c r="F43" s="443">
        <v>0.123</v>
      </c>
      <c r="G43" s="444">
        <f t="shared" si="1"/>
        <v>7175.952</v>
      </c>
    </row>
    <row r="44" spans="2:7" ht="12.75">
      <c r="B44" s="441" t="s">
        <v>591</v>
      </c>
      <c r="C44" s="442" t="s">
        <v>137</v>
      </c>
      <c r="D44" s="443">
        <v>0.077</v>
      </c>
      <c r="E44" s="444">
        <f t="shared" si="0"/>
        <v>6896.691</v>
      </c>
      <c r="F44" s="443">
        <v>0.077</v>
      </c>
      <c r="G44" s="444">
        <f t="shared" si="1"/>
        <v>6990.848</v>
      </c>
    </row>
    <row r="45" spans="2:7" ht="12.75">
      <c r="B45" s="441" t="s">
        <v>592</v>
      </c>
      <c r="C45" s="442" t="s">
        <v>138</v>
      </c>
      <c r="D45" s="443">
        <v>0.1157</v>
      </c>
      <c r="E45" s="444">
        <f t="shared" si="0"/>
        <v>7050.8331</v>
      </c>
      <c r="F45" s="443">
        <v>0.1157</v>
      </c>
      <c r="G45" s="444">
        <f t="shared" si="1"/>
        <v>7146.5768</v>
      </c>
    </row>
    <row r="46" spans="2:7" ht="12.75">
      <c r="B46" s="441" t="s">
        <v>593</v>
      </c>
      <c r="C46" s="442" t="s">
        <v>139</v>
      </c>
      <c r="D46" s="443">
        <v>0.2652</v>
      </c>
      <c r="E46" s="444">
        <f t="shared" si="0"/>
        <v>7646.2916000000005</v>
      </c>
      <c r="F46" s="443">
        <v>0.2652</v>
      </c>
      <c r="G46" s="444">
        <f t="shared" si="1"/>
        <v>7748.1648000000005</v>
      </c>
    </row>
    <row r="47" spans="2:7" ht="12.75">
      <c r="B47" s="441" t="s">
        <v>594</v>
      </c>
      <c r="C47" s="442" t="s">
        <v>140</v>
      </c>
      <c r="D47" s="443">
        <v>0.1654</v>
      </c>
      <c r="E47" s="444">
        <f t="shared" si="0"/>
        <v>7248.7882</v>
      </c>
      <c r="F47" s="443">
        <v>0.1654</v>
      </c>
      <c r="G47" s="444">
        <f t="shared" si="1"/>
        <v>7346.5696</v>
      </c>
    </row>
    <row r="48" spans="2:7" ht="12.75">
      <c r="B48" s="441" t="s">
        <v>595</v>
      </c>
      <c r="C48" s="442" t="s">
        <v>141</v>
      </c>
      <c r="D48" s="443">
        <v>0.1467</v>
      </c>
      <c r="E48" s="444">
        <f t="shared" si="0"/>
        <v>7174.3061</v>
      </c>
      <c r="F48" s="443">
        <v>0.1467</v>
      </c>
      <c r="G48" s="444">
        <f t="shared" si="1"/>
        <v>7271.3207999999995</v>
      </c>
    </row>
    <row r="49" spans="2:7" ht="12.75">
      <c r="B49" s="441" t="s">
        <v>596</v>
      </c>
      <c r="C49" s="442" t="s">
        <v>142</v>
      </c>
      <c r="D49" s="443">
        <v>0.1173</v>
      </c>
      <c r="E49" s="444">
        <f t="shared" si="0"/>
        <v>7057.2059</v>
      </c>
      <c r="F49" s="443">
        <v>0.1173</v>
      </c>
      <c r="G49" s="444">
        <f t="shared" si="1"/>
        <v>7153.0152</v>
      </c>
    </row>
    <row r="50" spans="2:7" ht="12.75">
      <c r="B50" s="441" t="s">
        <v>597</v>
      </c>
      <c r="C50" s="442" t="s">
        <v>143</v>
      </c>
      <c r="D50" s="443">
        <v>0.1576</v>
      </c>
      <c r="E50" s="444">
        <f t="shared" si="0"/>
        <v>7217.7208</v>
      </c>
      <c r="F50" s="443">
        <v>0.1576</v>
      </c>
      <c r="G50" s="444">
        <f t="shared" si="1"/>
        <v>7315.1824</v>
      </c>
    </row>
    <row r="51" spans="2:7" ht="12.75">
      <c r="B51" s="441" t="s">
        <v>598</v>
      </c>
      <c r="C51" s="442" t="s">
        <v>144</v>
      </c>
      <c r="D51" s="443">
        <v>0.2063</v>
      </c>
      <c r="E51" s="444">
        <f t="shared" si="0"/>
        <v>7411.6929</v>
      </c>
      <c r="F51" s="443">
        <v>0.2063</v>
      </c>
      <c r="G51" s="444">
        <f t="shared" si="1"/>
        <v>7511.1512</v>
      </c>
    </row>
    <row r="52" spans="2:7" ht="12.75">
      <c r="B52" s="441" t="s">
        <v>599</v>
      </c>
      <c r="C52" s="442" t="s">
        <v>145</v>
      </c>
      <c r="D52" s="443">
        <v>0.1261</v>
      </c>
      <c r="E52" s="444">
        <f t="shared" si="0"/>
        <v>7092.2563</v>
      </c>
      <c r="F52" s="443">
        <v>0.1261</v>
      </c>
      <c r="G52" s="444">
        <f t="shared" si="1"/>
        <v>7188.4264</v>
      </c>
    </row>
    <row r="53" spans="2:7" ht="12.75">
      <c r="B53" s="441" t="s">
        <v>600</v>
      </c>
      <c r="C53" s="442" t="s">
        <v>146</v>
      </c>
      <c r="D53" s="443">
        <v>0.0758</v>
      </c>
      <c r="E53" s="444">
        <f t="shared" si="0"/>
        <v>6891.9114</v>
      </c>
      <c r="F53" s="443">
        <v>0.0758</v>
      </c>
      <c r="G53" s="444">
        <f t="shared" si="1"/>
        <v>6986.0192</v>
      </c>
    </row>
    <row r="54" spans="2:7" ht="12.75">
      <c r="B54" s="441" t="s">
        <v>601</v>
      </c>
      <c r="C54" s="442" t="s">
        <v>147</v>
      </c>
      <c r="D54" s="443">
        <v>0.1795</v>
      </c>
      <c r="E54" s="444">
        <f t="shared" si="0"/>
        <v>7304.9485</v>
      </c>
      <c r="F54" s="443">
        <v>0.1795</v>
      </c>
      <c r="G54" s="444">
        <f t="shared" si="1"/>
        <v>7403.308</v>
      </c>
    </row>
    <row r="55" spans="2:7" ht="12.75">
      <c r="B55" s="441" t="s">
        <v>602</v>
      </c>
      <c r="C55" s="442" t="s">
        <v>148</v>
      </c>
      <c r="D55" s="443">
        <v>0.1995</v>
      </c>
      <c r="E55" s="444">
        <f t="shared" si="0"/>
        <v>7384.6085</v>
      </c>
      <c r="F55" s="443">
        <v>0.1995</v>
      </c>
      <c r="G55" s="444">
        <f t="shared" si="1"/>
        <v>7483.7880000000005</v>
      </c>
    </row>
    <row r="56" spans="2:7" ht="12.75">
      <c r="B56" s="441" t="s">
        <v>603</v>
      </c>
      <c r="C56" s="442" t="s">
        <v>149</v>
      </c>
      <c r="D56" s="443">
        <v>0.2129</v>
      </c>
      <c r="E56" s="444">
        <f t="shared" si="0"/>
        <v>7437.9807</v>
      </c>
      <c r="F56" s="443">
        <v>0.2129</v>
      </c>
      <c r="G56" s="444">
        <f t="shared" si="1"/>
        <v>7537.7096</v>
      </c>
    </row>
    <row r="57" spans="2:7" ht="12.75">
      <c r="B57" s="441" t="s">
        <v>604</v>
      </c>
      <c r="C57" s="442" t="s">
        <v>150</v>
      </c>
      <c r="D57" s="443">
        <v>0.1847</v>
      </c>
      <c r="E57" s="444">
        <f t="shared" si="0"/>
        <v>7325.6601</v>
      </c>
      <c r="F57" s="443">
        <v>0.1847</v>
      </c>
      <c r="G57" s="444">
        <f t="shared" si="1"/>
        <v>7424.2328</v>
      </c>
    </row>
    <row r="58" spans="2:7" ht="12.75">
      <c r="B58" s="441" t="s">
        <v>605</v>
      </c>
      <c r="C58" s="442" t="s">
        <v>151</v>
      </c>
      <c r="D58" s="443">
        <v>0.0614</v>
      </c>
      <c r="E58" s="444">
        <f t="shared" si="0"/>
        <v>6834.5562</v>
      </c>
      <c r="F58" s="443">
        <v>0.0614</v>
      </c>
      <c r="G58" s="444">
        <f t="shared" si="1"/>
        <v>6928.0736</v>
      </c>
    </row>
    <row r="59" spans="2:7" ht="12.75">
      <c r="B59" s="441" t="s">
        <v>606</v>
      </c>
      <c r="C59" s="456" t="s">
        <v>152</v>
      </c>
      <c r="D59" s="443">
        <v>0.1863</v>
      </c>
      <c r="E59" s="444">
        <f t="shared" si="0"/>
        <v>7332.0329</v>
      </c>
      <c r="F59" s="443">
        <v>0.1863</v>
      </c>
      <c r="G59" s="444">
        <f t="shared" si="1"/>
        <v>7430.6712</v>
      </c>
    </row>
    <row r="60" spans="2:7" ht="12.75">
      <c r="B60" s="441" t="s">
        <v>607</v>
      </c>
      <c r="C60" s="442" t="s">
        <v>153</v>
      </c>
      <c r="D60" s="443">
        <v>0.1925</v>
      </c>
      <c r="E60" s="444">
        <f t="shared" si="0"/>
        <v>7356.7275</v>
      </c>
      <c r="F60" s="443">
        <v>0.1925</v>
      </c>
      <c r="G60" s="444">
        <f t="shared" si="1"/>
        <v>7455.62</v>
      </c>
    </row>
    <row r="61" spans="2:7" ht="12.75">
      <c r="B61" s="441" t="s">
        <v>608</v>
      </c>
      <c r="C61" s="442" t="s">
        <v>154</v>
      </c>
      <c r="D61" s="443">
        <v>0.0617</v>
      </c>
      <c r="E61" s="444">
        <f t="shared" si="0"/>
        <v>6835.7511</v>
      </c>
      <c r="F61" s="443">
        <v>0.0617</v>
      </c>
      <c r="G61" s="444">
        <f t="shared" si="1"/>
        <v>6929.2808</v>
      </c>
    </row>
    <row r="62" spans="2:7" ht="12.75">
      <c r="B62" s="441" t="s">
        <v>609</v>
      </c>
      <c r="C62" s="442" t="s">
        <v>155</v>
      </c>
      <c r="D62" s="443">
        <v>0.1308</v>
      </c>
      <c r="E62" s="444">
        <f t="shared" si="0"/>
        <v>7110.9764</v>
      </c>
      <c r="F62" s="443">
        <v>0.1308</v>
      </c>
      <c r="G62" s="444">
        <f t="shared" si="1"/>
        <v>7207.3392</v>
      </c>
    </row>
    <row r="63" spans="2:7" ht="12.75">
      <c r="B63" s="441" t="s">
        <v>610</v>
      </c>
      <c r="C63" s="442" t="s">
        <v>156</v>
      </c>
      <c r="D63" s="443">
        <v>0.1007</v>
      </c>
      <c r="E63" s="444">
        <f t="shared" si="0"/>
        <v>6991.0881</v>
      </c>
      <c r="F63" s="443">
        <v>0.1007</v>
      </c>
      <c r="G63" s="444">
        <f t="shared" si="1"/>
        <v>7086.2168</v>
      </c>
    </row>
    <row r="64" spans="2:7" ht="12.75">
      <c r="B64" s="441" t="s">
        <v>611</v>
      </c>
      <c r="C64" s="442" t="s">
        <v>157</v>
      </c>
      <c r="D64" s="443">
        <v>0.1143</v>
      </c>
      <c r="E64" s="444">
        <f t="shared" si="0"/>
        <v>7045.2569</v>
      </c>
      <c r="F64" s="443">
        <v>0.1143</v>
      </c>
      <c r="G64" s="444">
        <f t="shared" si="1"/>
        <v>7140.9432</v>
      </c>
    </row>
    <row r="65" spans="2:7" ht="12.75">
      <c r="B65" s="441" t="s">
        <v>612</v>
      </c>
      <c r="C65" s="442" t="s">
        <v>158</v>
      </c>
      <c r="D65" s="443">
        <v>0.1554</v>
      </c>
      <c r="E65" s="444">
        <f t="shared" si="0"/>
        <v>7208.9582</v>
      </c>
      <c r="F65" s="443">
        <v>0.1554</v>
      </c>
      <c r="G65" s="444">
        <f t="shared" si="1"/>
        <v>7306.3296</v>
      </c>
    </row>
    <row r="66" spans="2:7" ht="12.75">
      <c r="B66" s="441" t="s">
        <v>613</v>
      </c>
      <c r="C66" s="442" t="s">
        <v>159</v>
      </c>
      <c r="D66" s="443">
        <v>0.1015</v>
      </c>
      <c r="E66" s="444">
        <f t="shared" si="0"/>
        <v>6994.2745</v>
      </c>
      <c r="F66" s="443">
        <v>0.1015</v>
      </c>
      <c r="G66" s="444">
        <f t="shared" si="1"/>
        <v>7089.436</v>
      </c>
    </row>
    <row r="67" spans="2:7" ht="12.75">
      <c r="B67" s="441" t="s">
        <v>614</v>
      </c>
      <c r="C67" s="442" t="s">
        <v>160</v>
      </c>
      <c r="D67" s="443">
        <v>0.0785</v>
      </c>
      <c r="E67" s="444">
        <f t="shared" si="0"/>
        <v>6902.6655</v>
      </c>
      <c r="F67" s="443">
        <v>0.0785</v>
      </c>
      <c r="G67" s="444">
        <f t="shared" si="1"/>
        <v>6996.884</v>
      </c>
    </row>
    <row r="68" spans="2:7" ht="12.75">
      <c r="B68" s="441" t="s">
        <v>615</v>
      </c>
      <c r="C68" s="442" t="s">
        <v>161</v>
      </c>
      <c r="D68" s="443">
        <v>0.2124</v>
      </c>
      <c r="E68" s="444">
        <f t="shared" si="0"/>
        <v>7435.9892</v>
      </c>
      <c r="F68" s="443">
        <v>0.2124</v>
      </c>
      <c r="G68" s="444">
        <f t="shared" si="1"/>
        <v>7535.6975999999995</v>
      </c>
    </row>
    <row r="69" spans="2:7" ht="12.75">
      <c r="B69" s="441" t="s">
        <v>616</v>
      </c>
      <c r="C69" s="442" t="s">
        <v>162</v>
      </c>
      <c r="D69" s="443">
        <v>0.1229</v>
      </c>
      <c r="E69" s="444">
        <f t="shared" si="0"/>
        <v>7079.5107</v>
      </c>
      <c r="F69" s="443">
        <v>0.1229</v>
      </c>
      <c r="G69" s="444">
        <f t="shared" si="1"/>
        <v>7175.5496</v>
      </c>
    </row>
    <row r="70" spans="2:7" ht="12.75">
      <c r="B70" s="441" t="s">
        <v>617</v>
      </c>
      <c r="C70" s="442" t="s">
        <v>163</v>
      </c>
      <c r="D70" s="443">
        <v>0.1134</v>
      </c>
      <c r="E70" s="444">
        <f t="shared" si="0"/>
        <v>7041.6722</v>
      </c>
      <c r="F70" s="443">
        <v>0.1134</v>
      </c>
      <c r="G70" s="444">
        <f t="shared" si="1"/>
        <v>7137.3216</v>
      </c>
    </row>
    <row r="71" spans="2:7" ht="12.75">
      <c r="B71" s="441" t="s">
        <v>618</v>
      </c>
      <c r="C71" s="442" t="s">
        <v>164</v>
      </c>
      <c r="D71" s="443">
        <v>0.0495</v>
      </c>
      <c r="E71" s="444">
        <f t="shared" si="0"/>
        <v>6787.1585</v>
      </c>
      <c r="F71" s="443">
        <v>0.0495</v>
      </c>
      <c r="G71" s="444">
        <f t="shared" si="1"/>
        <v>6880.188</v>
      </c>
    </row>
    <row r="72" spans="2:7" ht="12.75">
      <c r="B72" s="441" t="s">
        <v>619</v>
      </c>
      <c r="C72" s="442" t="s">
        <v>165</v>
      </c>
      <c r="D72" s="443">
        <v>0.1265</v>
      </c>
      <c r="E72" s="444">
        <f t="shared" si="0"/>
        <v>7093.8495</v>
      </c>
      <c r="F72" s="443">
        <v>0.1265</v>
      </c>
      <c r="G72" s="444">
        <f t="shared" si="1"/>
        <v>7190.036</v>
      </c>
    </row>
    <row r="73" spans="2:7" ht="12.75">
      <c r="B73" s="441" t="s">
        <v>620</v>
      </c>
      <c r="C73" s="442" t="s">
        <v>166</v>
      </c>
      <c r="D73" s="443">
        <v>0.125</v>
      </c>
      <c r="E73" s="444">
        <f t="shared" si="0"/>
        <v>7087.875</v>
      </c>
      <c r="F73" s="443">
        <v>0.125</v>
      </c>
      <c r="G73" s="444">
        <f t="shared" si="1"/>
        <v>7184</v>
      </c>
    </row>
    <row r="74" spans="2:7" ht="12.75">
      <c r="B74" s="441" t="s">
        <v>621</v>
      </c>
      <c r="C74" s="442" t="s">
        <v>167</v>
      </c>
      <c r="D74" s="443">
        <v>0.154</v>
      </c>
      <c r="E74" s="444">
        <f t="shared" si="0"/>
        <v>7203.382</v>
      </c>
      <c r="F74" s="443">
        <v>0.154</v>
      </c>
      <c r="G74" s="444">
        <f t="shared" si="1"/>
        <v>7300.696</v>
      </c>
    </row>
    <row r="75" spans="2:7" ht="12.75">
      <c r="B75" s="441" t="s">
        <v>622</v>
      </c>
      <c r="C75" s="442" t="s">
        <v>168</v>
      </c>
      <c r="D75" s="443">
        <v>0.0679</v>
      </c>
      <c r="E75" s="444">
        <f t="shared" si="0"/>
        <v>6860.4457</v>
      </c>
      <c r="F75" s="443">
        <v>0.0679</v>
      </c>
      <c r="G75" s="444">
        <f t="shared" si="1"/>
        <v>6954.2296</v>
      </c>
    </row>
    <row r="76" spans="2:7" ht="12.75">
      <c r="B76" s="441" t="s">
        <v>623</v>
      </c>
      <c r="C76" s="442" t="s">
        <v>169</v>
      </c>
      <c r="D76" s="443">
        <v>0.1159</v>
      </c>
      <c r="E76" s="444">
        <f t="shared" si="0"/>
        <v>7051.6297</v>
      </c>
      <c r="F76" s="443">
        <v>0.1159</v>
      </c>
      <c r="G76" s="444">
        <f t="shared" si="1"/>
        <v>7147.3816</v>
      </c>
    </row>
    <row r="77" spans="2:7" ht="12.75">
      <c r="B77" s="441" t="s">
        <v>624</v>
      </c>
      <c r="C77" s="442" t="s">
        <v>170</v>
      </c>
      <c r="D77" s="443">
        <v>0.134</v>
      </c>
      <c r="E77" s="444">
        <f t="shared" si="0"/>
        <v>7123.722</v>
      </c>
      <c r="F77" s="443">
        <v>0.134</v>
      </c>
      <c r="G77" s="444">
        <f t="shared" si="1"/>
        <v>7220.216</v>
      </c>
    </row>
    <row r="78" spans="2:7" ht="12.75">
      <c r="B78" s="441" t="s">
        <v>625</v>
      </c>
      <c r="C78" s="442" t="s">
        <v>171</v>
      </c>
      <c r="D78" s="443">
        <v>0.2285</v>
      </c>
      <c r="E78" s="444">
        <f t="shared" si="0"/>
        <v>7500.1155</v>
      </c>
      <c r="F78" s="443">
        <v>0.2285</v>
      </c>
      <c r="G78" s="444">
        <f t="shared" si="1"/>
        <v>7600.484</v>
      </c>
    </row>
    <row r="79" spans="2:7" ht="12.75">
      <c r="B79" s="441" t="s">
        <v>626</v>
      </c>
      <c r="C79" s="442" t="s">
        <v>172</v>
      </c>
      <c r="D79" s="443">
        <v>0.2176</v>
      </c>
      <c r="E79" s="444">
        <f t="shared" si="0"/>
        <v>7456.7008</v>
      </c>
      <c r="F79" s="443">
        <v>0.2176</v>
      </c>
      <c r="G79" s="444">
        <f t="shared" si="1"/>
        <v>7556.6224</v>
      </c>
    </row>
    <row r="80" spans="2:7" ht="12.75">
      <c r="B80" s="441" t="s">
        <v>627</v>
      </c>
      <c r="C80" s="442" t="s">
        <v>173</v>
      </c>
      <c r="D80" s="443">
        <v>0.2616</v>
      </c>
      <c r="E80" s="444">
        <f t="shared" si="0"/>
        <v>7631.9528</v>
      </c>
      <c r="F80" s="443">
        <v>0.2616</v>
      </c>
      <c r="G80" s="444">
        <f t="shared" si="1"/>
        <v>7733.6784</v>
      </c>
    </row>
    <row r="81" spans="2:7" ht="12.75">
      <c r="B81" s="441" t="s">
        <v>628</v>
      </c>
      <c r="C81" s="442" t="s">
        <v>174</v>
      </c>
      <c r="D81" s="443">
        <v>0.1126</v>
      </c>
      <c r="E81" s="444">
        <f aca="true" t="shared" si="2" ref="E81:E144">(D81*$J$18)+$J$17</f>
        <v>7038.4858</v>
      </c>
      <c r="F81" s="443">
        <v>0.1126</v>
      </c>
      <c r="G81" s="444">
        <f t="shared" si="1"/>
        <v>7134.1024</v>
      </c>
    </row>
    <row r="82" spans="2:7" ht="12.75">
      <c r="B82" s="441" t="s">
        <v>629</v>
      </c>
      <c r="C82" s="442" t="s">
        <v>175</v>
      </c>
      <c r="D82" s="443">
        <v>0.219</v>
      </c>
      <c r="E82" s="444">
        <f t="shared" si="2"/>
        <v>7462.277</v>
      </c>
      <c r="F82" s="443">
        <v>0.219</v>
      </c>
      <c r="G82" s="444">
        <f t="shared" si="1"/>
        <v>7562.256</v>
      </c>
    </row>
    <row r="83" spans="2:7" ht="12.75">
      <c r="B83" s="441" t="s">
        <v>630</v>
      </c>
      <c r="C83" s="442" t="s">
        <v>176</v>
      </c>
      <c r="D83" s="443">
        <v>0.0442</v>
      </c>
      <c r="E83" s="444">
        <f t="shared" si="2"/>
        <v>6766.0486</v>
      </c>
      <c r="F83" s="443">
        <v>0.0442</v>
      </c>
      <c r="G83" s="444">
        <f aca="true" t="shared" si="3" ref="G83:G146">(F83*$K$18)+$K$17</f>
        <v>6858.8608</v>
      </c>
    </row>
    <row r="84" spans="2:7" ht="12.75">
      <c r="B84" s="441" t="s">
        <v>631</v>
      </c>
      <c r="C84" s="442" t="s">
        <v>177</v>
      </c>
      <c r="D84" s="443">
        <v>0.2496</v>
      </c>
      <c r="E84" s="444">
        <f t="shared" si="2"/>
        <v>7584.1568</v>
      </c>
      <c r="F84" s="443">
        <v>0.2496</v>
      </c>
      <c r="G84" s="444">
        <f t="shared" si="3"/>
        <v>7685.3904</v>
      </c>
    </row>
    <row r="85" spans="2:7" ht="12.75">
      <c r="B85" s="441" t="s">
        <v>632</v>
      </c>
      <c r="C85" s="442" t="s">
        <v>178</v>
      </c>
      <c r="D85" s="443">
        <v>0.1308</v>
      </c>
      <c r="E85" s="444">
        <f t="shared" si="2"/>
        <v>7110.9764</v>
      </c>
      <c r="F85" s="443">
        <v>0.1308</v>
      </c>
      <c r="G85" s="444">
        <f t="shared" si="3"/>
        <v>7207.3392</v>
      </c>
    </row>
    <row r="86" spans="2:7" ht="12.75">
      <c r="B86" s="441" t="s">
        <v>633</v>
      </c>
      <c r="C86" s="442" t="s">
        <v>179</v>
      </c>
      <c r="D86" s="443">
        <v>0.2785</v>
      </c>
      <c r="E86" s="444">
        <f t="shared" si="2"/>
        <v>7699.2655</v>
      </c>
      <c r="F86" s="443">
        <v>0.2785</v>
      </c>
      <c r="G86" s="444">
        <f t="shared" si="3"/>
        <v>7801.684</v>
      </c>
    </row>
    <row r="87" spans="2:7" ht="12.75">
      <c r="B87" s="441" t="s">
        <v>634</v>
      </c>
      <c r="C87" s="442" t="s">
        <v>180</v>
      </c>
      <c r="D87" s="443">
        <v>0.1324</v>
      </c>
      <c r="E87" s="444">
        <f t="shared" si="2"/>
        <v>7117.3492</v>
      </c>
      <c r="F87" s="443">
        <v>0.1324</v>
      </c>
      <c r="G87" s="444">
        <f t="shared" si="3"/>
        <v>7213.7776</v>
      </c>
    </row>
    <row r="88" spans="2:7" ht="12.75">
      <c r="B88" s="441" t="s">
        <v>635</v>
      </c>
      <c r="C88" s="442" t="s">
        <v>181</v>
      </c>
      <c r="D88" s="443">
        <v>0.1228</v>
      </c>
      <c r="E88" s="444">
        <f t="shared" si="2"/>
        <v>7079.1124</v>
      </c>
      <c r="F88" s="443">
        <v>0.1228</v>
      </c>
      <c r="G88" s="444">
        <f t="shared" si="3"/>
        <v>7175.1472</v>
      </c>
    </row>
    <row r="89" spans="2:7" ht="12.75">
      <c r="B89" s="441" t="s">
        <v>636</v>
      </c>
      <c r="C89" s="442" t="s">
        <v>182</v>
      </c>
      <c r="D89" s="443">
        <v>0.1305</v>
      </c>
      <c r="E89" s="444">
        <f t="shared" si="2"/>
        <v>7109.7815</v>
      </c>
      <c r="F89" s="443">
        <v>0.1305</v>
      </c>
      <c r="G89" s="444">
        <f t="shared" si="3"/>
        <v>7206.132</v>
      </c>
    </row>
    <row r="90" spans="2:7" ht="12.75">
      <c r="B90" s="441" t="s">
        <v>637</v>
      </c>
      <c r="C90" s="442" t="s">
        <v>183</v>
      </c>
      <c r="D90" s="443">
        <v>0.1191</v>
      </c>
      <c r="E90" s="444">
        <f t="shared" si="2"/>
        <v>7064.3753</v>
      </c>
      <c r="F90" s="443">
        <v>0.1191</v>
      </c>
      <c r="G90" s="444">
        <f t="shared" si="3"/>
        <v>7160.2584</v>
      </c>
    </row>
    <row r="91" spans="2:7" ht="12.75">
      <c r="B91" s="441" t="s">
        <v>638</v>
      </c>
      <c r="C91" s="442" t="s">
        <v>184</v>
      </c>
      <c r="D91" s="443">
        <v>0.0888</v>
      </c>
      <c r="E91" s="444">
        <f t="shared" si="2"/>
        <v>6943.6904</v>
      </c>
      <c r="F91" s="443">
        <v>0.0888</v>
      </c>
      <c r="G91" s="444">
        <f t="shared" si="3"/>
        <v>7038.3312</v>
      </c>
    </row>
    <row r="92" spans="2:7" ht="12.75">
      <c r="B92" s="441" t="s">
        <v>639</v>
      </c>
      <c r="C92" s="442" t="s">
        <v>185</v>
      </c>
      <c r="D92" s="443">
        <v>0.0867</v>
      </c>
      <c r="E92" s="444">
        <f t="shared" si="2"/>
        <v>6935.3261</v>
      </c>
      <c r="F92" s="443">
        <v>0.0867</v>
      </c>
      <c r="G92" s="444">
        <f t="shared" si="3"/>
        <v>7029.8808</v>
      </c>
    </row>
    <row r="93" spans="2:7" ht="12.75">
      <c r="B93" s="441" t="s">
        <v>640</v>
      </c>
      <c r="C93" s="442" t="s">
        <v>186</v>
      </c>
      <c r="D93" s="443">
        <v>0.113</v>
      </c>
      <c r="E93" s="444">
        <f t="shared" si="2"/>
        <v>7040.079</v>
      </c>
      <c r="F93" s="443">
        <v>0.113</v>
      </c>
      <c r="G93" s="444">
        <f t="shared" si="3"/>
        <v>7135.7119999999995</v>
      </c>
    </row>
    <row r="94" spans="2:7" ht="12.75">
      <c r="B94" s="441" t="s">
        <v>641</v>
      </c>
      <c r="C94" s="442" t="s">
        <v>187</v>
      </c>
      <c r="D94" s="443">
        <v>0.5788</v>
      </c>
      <c r="E94" s="444">
        <f t="shared" si="2"/>
        <v>8895.3604</v>
      </c>
      <c r="F94" s="443">
        <v>0.5788</v>
      </c>
      <c r="G94" s="444">
        <f t="shared" si="3"/>
        <v>9010.091199999999</v>
      </c>
    </row>
    <row r="95" spans="2:7" ht="12.75">
      <c r="B95" s="441" t="s">
        <v>642</v>
      </c>
      <c r="C95" s="442" t="s">
        <v>188</v>
      </c>
      <c r="D95" s="443">
        <v>0.0925</v>
      </c>
      <c r="E95" s="444">
        <f t="shared" si="2"/>
        <v>6958.4275</v>
      </c>
      <c r="F95" s="443">
        <v>0.0925</v>
      </c>
      <c r="G95" s="444">
        <f t="shared" si="3"/>
        <v>7053.22</v>
      </c>
    </row>
    <row r="96" spans="2:7" ht="12.75">
      <c r="B96" s="441" t="s">
        <v>643</v>
      </c>
      <c r="C96" s="442" t="s">
        <v>189</v>
      </c>
      <c r="D96" s="443">
        <v>0.1561</v>
      </c>
      <c r="E96" s="444">
        <f t="shared" si="2"/>
        <v>7211.7463</v>
      </c>
      <c r="F96" s="443">
        <v>0.1561</v>
      </c>
      <c r="G96" s="444">
        <f t="shared" si="3"/>
        <v>7309.1464</v>
      </c>
    </row>
    <row r="97" spans="2:7" ht="12.75">
      <c r="B97" s="441" t="s">
        <v>644</v>
      </c>
      <c r="C97" s="442" t="s">
        <v>190</v>
      </c>
      <c r="D97" s="443">
        <v>0.064</v>
      </c>
      <c r="E97" s="444">
        <f t="shared" si="2"/>
        <v>6844.912</v>
      </c>
      <c r="F97" s="443">
        <v>0.064</v>
      </c>
      <c r="G97" s="444">
        <f t="shared" si="3"/>
        <v>6938.536</v>
      </c>
    </row>
    <row r="98" spans="2:7" ht="12.75">
      <c r="B98" s="441" t="s">
        <v>645</v>
      </c>
      <c r="C98" s="442" t="s">
        <v>191</v>
      </c>
      <c r="D98" s="443">
        <v>0.1803</v>
      </c>
      <c r="E98" s="444">
        <f t="shared" si="2"/>
        <v>7308.1349</v>
      </c>
      <c r="F98" s="443">
        <v>0.1803</v>
      </c>
      <c r="G98" s="444">
        <f t="shared" si="3"/>
        <v>7406.5272</v>
      </c>
    </row>
    <row r="99" spans="2:7" ht="12.75">
      <c r="B99" s="441" t="s">
        <v>646</v>
      </c>
      <c r="C99" s="442" t="s">
        <v>192</v>
      </c>
      <c r="D99" s="443">
        <v>0.1017</v>
      </c>
      <c r="E99" s="444">
        <f t="shared" si="2"/>
        <v>6995.0711</v>
      </c>
      <c r="F99" s="443">
        <v>0.1017</v>
      </c>
      <c r="G99" s="444">
        <f t="shared" si="3"/>
        <v>7090.2408</v>
      </c>
    </row>
    <row r="100" spans="2:7" ht="12.75">
      <c r="B100" s="441" t="s">
        <v>647</v>
      </c>
      <c r="C100" s="442" t="s">
        <v>193</v>
      </c>
      <c r="D100" s="443">
        <v>0.1643</v>
      </c>
      <c r="E100" s="444">
        <f t="shared" si="2"/>
        <v>7244.4069</v>
      </c>
      <c r="F100" s="443">
        <v>0.1643</v>
      </c>
      <c r="G100" s="444">
        <f t="shared" si="3"/>
        <v>7342.1432</v>
      </c>
    </row>
    <row r="101" spans="2:7" ht="12.75">
      <c r="B101" s="441" t="s">
        <v>648</v>
      </c>
      <c r="C101" s="442" t="s">
        <v>194</v>
      </c>
      <c r="D101" s="443">
        <v>0.1673</v>
      </c>
      <c r="E101" s="444">
        <f t="shared" si="2"/>
        <v>7256.3559000000005</v>
      </c>
      <c r="F101" s="443">
        <v>0.1673</v>
      </c>
      <c r="G101" s="444">
        <f t="shared" si="3"/>
        <v>7354.2152</v>
      </c>
    </row>
    <row r="102" spans="2:7" ht="12.75">
      <c r="B102" s="441" t="s">
        <v>649</v>
      </c>
      <c r="C102" s="442" t="s">
        <v>195</v>
      </c>
      <c r="D102" s="443">
        <v>0.128</v>
      </c>
      <c r="E102" s="444">
        <f t="shared" si="2"/>
        <v>7099.824</v>
      </c>
      <c r="F102" s="443">
        <v>0.128</v>
      </c>
      <c r="G102" s="444">
        <f t="shared" si="3"/>
        <v>7196.072</v>
      </c>
    </row>
    <row r="103" spans="2:7" ht="12.75">
      <c r="B103" s="441" t="s">
        <v>650</v>
      </c>
      <c r="C103" s="456" t="s">
        <v>196</v>
      </c>
      <c r="D103" s="443">
        <v>0.0783</v>
      </c>
      <c r="E103" s="444">
        <f t="shared" si="2"/>
        <v>6901.8689</v>
      </c>
      <c r="F103" s="443">
        <v>0.0783</v>
      </c>
      <c r="G103" s="444">
        <f t="shared" si="3"/>
        <v>6996.0792</v>
      </c>
    </row>
    <row r="104" spans="2:7" ht="12.75">
      <c r="B104" s="441" t="s">
        <v>651</v>
      </c>
      <c r="C104" s="442" t="s">
        <v>197</v>
      </c>
      <c r="D104" s="443">
        <v>0.0728</v>
      </c>
      <c r="E104" s="444">
        <f t="shared" si="2"/>
        <v>6879.9624</v>
      </c>
      <c r="F104" s="443">
        <v>0.0728</v>
      </c>
      <c r="G104" s="444">
        <f t="shared" si="3"/>
        <v>6973.9472</v>
      </c>
    </row>
    <row r="105" spans="2:7" ht="12.75">
      <c r="B105" s="441" t="s">
        <v>652</v>
      </c>
      <c r="C105" s="442" t="s">
        <v>198</v>
      </c>
      <c r="D105" s="443">
        <v>0.0393</v>
      </c>
      <c r="E105" s="444">
        <f t="shared" si="2"/>
        <v>6746.5319</v>
      </c>
      <c r="F105" s="443">
        <v>0.0393</v>
      </c>
      <c r="G105" s="444">
        <f t="shared" si="3"/>
        <v>6839.1432</v>
      </c>
    </row>
    <row r="106" spans="2:7" ht="12.75">
      <c r="B106" s="441" t="s">
        <v>653</v>
      </c>
      <c r="C106" s="457" t="s">
        <v>199</v>
      </c>
      <c r="D106" s="443">
        <v>0.0627</v>
      </c>
      <c r="E106" s="444">
        <f t="shared" si="2"/>
        <v>6839.7341</v>
      </c>
      <c r="F106" s="443">
        <v>0.0627</v>
      </c>
      <c r="G106" s="444">
        <f t="shared" si="3"/>
        <v>6933.3048</v>
      </c>
    </row>
    <row r="107" spans="2:7" ht="12.75">
      <c r="B107" s="441" t="s">
        <v>654</v>
      </c>
      <c r="C107" s="442" t="s">
        <v>200</v>
      </c>
      <c r="D107" s="443">
        <v>0.1328</v>
      </c>
      <c r="E107" s="444">
        <f t="shared" si="2"/>
        <v>7118.9424</v>
      </c>
      <c r="F107" s="443">
        <v>0.1328</v>
      </c>
      <c r="G107" s="444">
        <f t="shared" si="3"/>
        <v>7215.3872</v>
      </c>
    </row>
    <row r="108" spans="2:7" ht="12.75">
      <c r="B108" s="441" t="s">
        <v>655</v>
      </c>
      <c r="C108" s="442" t="s">
        <v>201</v>
      </c>
      <c r="D108" s="443">
        <v>0.3657</v>
      </c>
      <c r="E108" s="444">
        <f t="shared" si="2"/>
        <v>8046.5831</v>
      </c>
      <c r="F108" s="443">
        <v>0.3657</v>
      </c>
      <c r="G108" s="444">
        <f t="shared" si="3"/>
        <v>8152.5768</v>
      </c>
    </row>
    <row r="109" spans="2:7" ht="12.75">
      <c r="B109" s="441" t="s">
        <v>656</v>
      </c>
      <c r="C109" s="456" t="s">
        <v>202</v>
      </c>
      <c r="D109" s="443">
        <v>0.1609</v>
      </c>
      <c r="E109" s="444">
        <f t="shared" si="2"/>
        <v>7230.8647</v>
      </c>
      <c r="F109" s="443">
        <v>0.1609</v>
      </c>
      <c r="G109" s="444">
        <f t="shared" si="3"/>
        <v>7328.4616</v>
      </c>
    </row>
    <row r="110" spans="2:7" ht="12.75">
      <c r="B110" s="441" t="s">
        <v>657</v>
      </c>
      <c r="C110" s="442" t="s">
        <v>203</v>
      </c>
      <c r="D110" s="443">
        <v>0.1489</v>
      </c>
      <c r="E110" s="444">
        <f t="shared" si="2"/>
        <v>7183.0687</v>
      </c>
      <c r="F110" s="443">
        <v>0.1489</v>
      </c>
      <c r="G110" s="444">
        <f t="shared" si="3"/>
        <v>7280.1736</v>
      </c>
    </row>
    <row r="111" spans="2:7" ht="12.75">
      <c r="B111" s="441" t="s">
        <v>658</v>
      </c>
      <c r="C111" s="442" t="s">
        <v>204</v>
      </c>
      <c r="D111" s="443">
        <v>0.1503</v>
      </c>
      <c r="E111" s="444">
        <f t="shared" si="2"/>
        <v>7188.6449</v>
      </c>
      <c r="F111" s="443">
        <v>0.1503</v>
      </c>
      <c r="G111" s="444">
        <f t="shared" si="3"/>
        <v>7285.8072</v>
      </c>
    </row>
    <row r="112" spans="2:7" ht="12.75">
      <c r="B112" s="441" t="s">
        <v>659</v>
      </c>
      <c r="C112" s="442" t="s">
        <v>205</v>
      </c>
      <c r="D112" s="443">
        <v>0.1254</v>
      </c>
      <c r="E112" s="444">
        <f t="shared" si="2"/>
        <v>7089.4682</v>
      </c>
      <c r="F112" s="443">
        <v>0.1254</v>
      </c>
      <c r="G112" s="444">
        <f t="shared" si="3"/>
        <v>7185.6096</v>
      </c>
    </row>
    <row r="113" spans="2:7" ht="12.75">
      <c r="B113" s="441" t="s">
        <v>660</v>
      </c>
      <c r="C113" s="442" t="s">
        <v>206</v>
      </c>
      <c r="D113" s="443">
        <v>0.1331</v>
      </c>
      <c r="E113" s="444">
        <f t="shared" si="2"/>
        <v>7120.1373</v>
      </c>
      <c r="F113" s="443">
        <v>0.1331</v>
      </c>
      <c r="G113" s="444">
        <f t="shared" si="3"/>
        <v>7216.5944</v>
      </c>
    </row>
    <row r="114" spans="2:7" ht="12.75">
      <c r="B114" s="441" t="s">
        <v>661</v>
      </c>
      <c r="C114" s="442" t="s">
        <v>207</v>
      </c>
      <c r="D114" s="443">
        <v>0.217</v>
      </c>
      <c r="E114" s="444">
        <f t="shared" si="2"/>
        <v>7454.311</v>
      </c>
      <c r="F114" s="443">
        <v>0.217</v>
      </c>
      <c r="G114" s="444">
        <f t="shared" si="3"/>
        <v>7554.208</v>
      </c>
    </row>
    <row r="115" spans="2:7" ht="12.75">
      <c r="B115" s="441" t="s">
        <v>662</v>
      </c>
      <c r="C115" s="442" t="s">
        <v>208</v>
      </c>
      <c r="D115" s="443">
        <v>0.3396</v>
      </c>
      <c r="E115" s="444">
        <f t="shared" si="2"/>
        <v>7942.6268</v>
      </c>
      <c r="F115" s="443">
        <v>0.3396</v>
      </c>
      <c r="G115" s="444">
        <f t="shared" si="3"/>
        <v>8047.5504</v>
      </c>
    </row>
    <row r="116" spans="2:7" ht="12.75">
      <c r="B116" s="441" t="s">
        <v>663</v>
      </c>
      <c r="C116" s="442" t="s">
        <v>209</v>
      </c>
      <c r="D116" s="443">
        <v>0.2989</v>
      </c>
      <c r="E116" s="444">
        <f t="shared" si="2"/>
        <v>7780.5187000000005</v>
      </c>
      <c r="F116" s="443">
        <v>0.2989</v>
      </c>
      <c r="G116" s="444">
        <f t="shared" si="3"/>
        <v>7883.7736</v>
      </c>
    </row>
    <row r="117" spans="2:7" ht="12.75">
      <c r="B117" s="441" t="s">
        <v>664</v>
      </c>
      <c r="C117" s="457" t="s">
        <v>210</v>
      </c>
      <c r="D117" s="443">
        <v>0.0655</v>
      </c>
      <c r="E117" s="444">
        <f t="shared" si="2"/>
        <v>6850.8865</v>
      </c>
      <c r="F117" s="443">
        <v>0.0655</v>
      </c>
      <c r="G117" s="444">
        <f t="shared" si="3"/>
        <v>6944.572</v>
      </c>
    </row>
    <row r="118" spans="2:7" ht="12.75">
      <c r="B118" s="441" t="s">
        <v>665</v>
      </c>
      <c r="C118" s="457" t="s">
        <v>211</v>
      </c>
      <c r="D118" s="443">
        <v>0.4537</v>
      </c>
      <c r="E118" s="444">
        <f t="shared" si="2"/>
        <v>8397.0871</v>
      </c>
      <c r="F118" s="443">
        <v>0.4537</v>
      </c>
      <c r="G118" s="444">
        <f t="shared" si="3"/>
        <v>8506.6888</v>
      </c>
    </row>
    <row r="119" spans="2:7" ht="12.75">
      <c r="B119" s="441" t="s">
        <v>666</v>
      </c>
      <c r="C119" s="457" t="s">
        <v>212</v>
      </c>
      <c r="D119" s="443">
        <v>0.3253</v>
      </c>
      <c r="E119" s="444">
        <f t="shared" si="2"/>
        <v>7885.6699</v>
      </c>
      <c r="F119" s="443">
        <v>0.3253</v>
      </c>
      <c r="G119" s="444">
        <f t="shared" si="3"/>
        <v>7990.0072</v>
      </c>
    </row>
    <row r="120" spans="2:7" ht="12.75">
      <c r="B120" s="441" t="s">
        <v>667</v>
      </c>
      <c r="C120" s="457" t="s">
        <v>213</v>
      </c>
      <c r="D120" s="443">
        <v>0.1275</v>
      </c>
      <c r="E120" s="444">
        <f t="shared" si="2"/>
        <v>7097.8325</v>
      </c>
      <c r="F120" s="443">
        <v>0.1275</v>
      </c>
      <c r="G120" s="444">
        <f t="shared" si="3"/>
        <v>7194.06</v>
      </c>
    </row>
    <row r="121" spans="2:7" ht="12.75">
      <c r="B121" s="441" t="s">
        <v>668</v>
      </c>
      <c r="C121" s="442" t="s">
        <v>214</v>
      </c>
      <c r="D121" s="443">
        <v>0.0323</v>
      </c>
      <c r="E121" s="444">
        <f t="shared" si="2"/>
        <v>6718.6509</v>
      </c>
      <c r="F121" s="443">
        <v>0.0323</v>
      </c>
      <c r="G121" s="444">
        <f t="shared" si="3"/>
        <v>6810.9752</v>
      </c>
    </row>
    <row r="122" spans="2:7" ht="12.75">
      <c r="B122" s="441" t="s">
        <v>669</v>
      </c>
      <c r="C122" s="442" t="s">
        <v>215</v>
      </c>
      <c r="D122" s="443">
        <v>0.2021</v>
      </c>
      <c r="E122" s="444">
        <f t="shared" si="2"/>
        <v>7394.9643</v>
      </c>
      <c r="F122" s="443">
        <v>0.2021</v>
      </c>
      <c r="G122" s="444">
        <f t="shared" si="3"/>
        <v>7494.2504</v>
      </c>
    </row>
    <row r="123" spans="2:7" ht="12.75">
      <c r="B123" s="441" t="s">
        <v>670</v>
      </c>
      <c r="C123" s="442" t="s">
        <v>216</v>
      </c>
      <c r="D123" s="443">
        <v>0.1182</v>
      </c>
      <c r="E123" s="444">
        <f t="shared" si="2"/>
        <v>7060.7906</v>
      </c>
      <c r="F123" s="443">
        <v>0.1182</v>
      </c>
      <c r="G123" s="444">
        <f t="shared" si="3"/>
        <v>7156.6368</v>
      </c>
    </row>
    <row r="124" spans="2:7" ht="12.75">
      <c r="B124" s="441" t="s">
        <v>671</v>
      </c>
      <c r="C124" s="442" t="s">
        <v>217</v>
      </c>
      <c r="D124" s="443">
        <v>0.1271</v>
      </c>
      <c r="E124" s="444">
        <f t="shared" si="2"/>
        <v>7096.2393</v>
      </c>
      <c r="F124" s="443">
        <v>0.1271</v>
      </c>
      <c r="G124" s="444">
        <f t="shared" si="3"/>
        <v>7192.4504</v>
      </c>
    </row>
    <row r="125" spans="2:7" ht="12.75">
      <c r="B125" s="441" t="s">
        <v>672</v>
      </c>
      <c r="C125" s="442" t="s">
        <v>398</v>
      </c>
      <c r="D125" s="443">
        <v>0.1598</v>
      </c>
      <c r="E125" s="444">
        <f t="shared" si="2"/>
        <v>7226.4834</v>
      </c>
      <c r="F125" s="443">
        <v>0.1598</v>
      </c>
      <c r="G125" s="444">
        <f t="shared" si="3"/>
        <v>7324.0352</v>
      </c>
    </row>
    <row r="126" spans="2:7" ht="12.75">
      <c r="B126" s="441" t="s">
        <v>673</v>
      </c>
      <c r="C126" s="442" t="s">
        <v>218</v>
      </c>
      <c r="D126" s="443">
        <v>0.2131</v>
      </c>
      <c r="E126" s="444">
        <f t="shared" si="2"/>
        <v>7438.7773</v>
      </c>
      <c r="F126" s="443">
        <v>0.2131</v>
      </c>
      <c r="G126" s="444">
        <f t="shared" si="3"/>
        <v>7538.5144</v>
      </c>
    </row>
    <row r="127" spans="2:7" ht="12.75">
      <c r="B127" s="441" t="s">
        <v>674</v>
      </c>
      <c r="C127" s="442" t="s">
        <v>219</v>
      </c>
      <c r="D127" s="443">
        <v>0.1687</v>
      </c>
      <c r="E127" s="444">
        <f t="shared" si="2"/>
        <v>7261.9321</v>
      </c>
      <c r="F127" s="443">
        <v>0.1687</v>
      </c>
      <c r="G127" s="444">
        <f t="shared" si="3"/>
        <v>7359.8488</v>
      </c>
    </row>
    <row r="128" spans="2:7" ht="12.75">
      <c r="B128" s="441" t="s">
        <v>675</v>
      </c>
      <c r="C128" s="442" t="s">
        <v>220</v>
      </c>
      <c r="D128" s="443">
        <v>0.2149</v>
      </c>
      <c r="E128" s="444">
        <f t="shared" si="2"/>
        <v>7445.9467</v>
      </c>
      <c r="F128" s="443">
        <v>0.2149</v>
      </c>
      <c r="G128" s="444">
        <f t="shared" si="3"/>
        <v>7545.7576</v>
      </c>
    </row>
    <row r="129" spans="2:7" ht="12.75">
      <c r="B129" s="441" t="s">
        <v>676</v>
      </c>
      <c r="C129" s="456" t="s">
        <v>221</v>
      </c>
      <c r="D129" s="443">
        <v>0.0919</v>
      </c>
      <c r="E129" s="444">
        <f t="shared" si="2"/>
        <v>6956.0377</v>
      </c>
      <c r="F129" s="443">
        <v>0.0919</v>
      </c>
      <c r="G129" s="444">
        <f t="shared" si="3"/>
        <v>7050.8056</v>
      </c>
    </row>
    <row r="130" spans="2:7" ht="12.75">
      <c r="B130" s="441" t="s">
        <v>677</v>
      </c>
      <c r="C130" s="442" t="s">
        <v>222</v>
      </c>
      <c r="D130" s="443">
        <v>0.1244</v>
      </c>
      <c r="E130" s="444">
        <f t="shared" si="2"/>
        <v>7085.4852</v>
      </c>
      <c r="F130" s="443">
        <v>0.1244</v>
      </c>
      <c r="G130" s="444">
        <f t="shared" si="3"/>
        <v>7181.5856</v>
      </c>
    </row>
    <row r="131" spans="2:7" ht="12.75">
      <c r="B131" s="441" t="s">
        <v>678</v>
      </c>
      <c r="C131" s="442" t="s">
        <v>223</v>
      </c>
      <c r="D131" s="443">
        <v>0.1316</v>
      </c>
      <c r="E131" s="444">
        <f t="shared" si="2"/>
        <v>7114.1628</v>
      </c>
      <c r="F131" s="443">
        <v>0.1316</v>
      </c>
      <c r="G131" s="444">
        <f t="shared" si="3"/>
        <v>7210.5584</v>
      </c>
    </row>
    <row r="132" spans="2:7" ht="12.75">
      <c r="B132" s="441" t="s">
        <v>679</v>
      </c>
      <c r="C132" s="442" t="s">
        <v>224</v>
      </c>
      <c r="D132" s="443">
        <v>0.2608</v>
      </c>
      <c r="E132" s="444">
        <f t="shared" si="2"/>
        <v>7628.7664</v>
      </c>
      <c r="F132" s="443">
        <v>0.2608</v>
      </c>
      <c r="G132" s="444">
        <f t="shared" si="3"/>
        <v>7730.4592</v>
      </c>
    </row>
    <row r="133" spans="2:7" ht="12.75">
      <c r="B133" s="441" t="s">
        <v>680</v>
      </c>
      <c r="C133" s="442" t="s">
        <v>225</v>
      </c>
      <c r="D133" s="443">
        <v>0.2496</v>
      </c>
      <c r="E133" s="444">
        <f t="shared" si="2"/>
        <v>7584.1568</v>
      </c>
      <c r="F133" s="443">
        <v>0.2496</v>
      </c>
      <c r="G133" s="444">
        <f t="shared" si="3"/>
        <v>7685.3904</v>
      </c>
    </row>
    <row r="134" spans="2:7" ht="12.75">
      <c r="B134" s="441" t="s">
        <v>681</v>
      </c>
      <c r="C134" s="442" t="s">
        <v>226</v>
      </c>
      <c r="D134" s="443">
        <v>0.1677</v>
      </c>
      <c r="E134" s="444">
        <f t="shared" si="2"/>
        <v>7257.9491</v>
      </c>
      <c r="F134" s="443">
        <v>0.1677</v>
      </c>
      <c r="G134" s="444">
        <f t="shared" si="3"/>
        <v>7355.8248</v>
      </c>
    </row>
    <row r="135" spans="2:7" ht="12.75">
      <c r="B135" s="441" t="s">
        <v>682</v>
      </c>
      <c r="C135" s="442" t="s">
        <v>227</v>
      </c>
      <c r="D135" s="443">
        <v>0.1941</v>
      </c>
      <c r="E135" s="444">
        <f t="shared" si="2"/>
        <v>7363.1003</v>
      </c>
      <c r="F135" s="443">
        <v>0.1941</v>
      </c>
      <c r="G135" s="444">
        <f t="shared" si="3"/>
        <v>7462.0584</v>
      </c>
    </row>
    <row r="136" spans="2:7" ht="12.75">
      <c r="B136" s="441" t="s">
        <v>683</v>
      </c>
      <c r="C136" s="442" t="s">
        <v>228</v>
      </c>
      <c r="D136" s="443">
        <v>0.0827</v>
      </c>
      <c r="E136" s="444">
        <f t="shared" si="2"/>
        <v>6919.3940999999995</v>
      </c>
      <c r="F136" s="443">
        <v>0.0827</v>
      </c>
      <c r="G136" s="444">
        <f t="shared" si="3"/>
        <v>7013.7848</v>
      </c>
    </row>
    <row r="137" spans="2:7" ht="12.75">
      <c r="B137" s="441" t="s">
        <v>684</v>
      </c>
      <c r="C137" s="442" t="s">
        <v>229</v>
      </c>
      <c r="D137" s="443">
        <v>0.1441</v>
      </c>
      <c r="E137" s="444">
        <f t="shared" si="2"/>
        <v>7163.9503</v>
      </c>
      <c r="F137" s="443">
        <v>0.1441</v>
      </c>
      <c r="G137" s="444">
        <f t="shared" si="3"/>
        <v>7260.8584</v>
      </c>
    </row>
    <row r="138" spans="2:7" ht="12.75">
      <c r="B138" s="441" t="s">
        <v>685</v>
      </c>
      <c r="C138" s="442" t="s">
        <v>230</v>
      </c>
      <c r="D138" s="443">
        <v>0.2408</v>
      </c>
      <c r="E138" s="444">
        <f t="shared" si="2"/>
        <v>7549.1064</v>
      </c>
      <c r="F138" s="443">
        <v>0.2408</v>
      </c>
      <c r="G138" s="444">
        <f t="shared" si="3"/>
        <v>7649.9792</v>
      </c>
    </row>
    <row r="139" spans="2:7" ht="12.75">
      <c r="B139" s="441" t="s">
        <v>686</v>
      </c>
      <c r="C139" s="442" t="s">
        <v>231</v>
      </c>
      <c r="D139" s="443">
        <v>0.2481</v>
      </c>
      <c r="E139" s="444">
        <f t="shared" si="2"/>
        <v>7578.1823</v>
      </c>
      <c r="F139" s="443">
        <v>0.2481</v>
      </c>
      <c r="G139" s="444">
        <f t="shared" si="3"/>
        <v>7679.3544</v>
      </c>
    </row>
    <row r="140" spans="2:7" ht="12.75">
      <c r="B140" s="441" t="s">
        <v>687</v>
      </c>
      <c r="C140" s="442" t="s">
        <v>232</v>
      </c>
      <c r="D140" s="443">
        <v>0.2143</v>
      </c>
      <c r="E140" s="444">
        <f t="shared" si="2"/>
        <v>7443.5569</v>
      </c>
      <c r="F140" s="443">
        <v>0.2143</v>
      </c>
      <c r="G140" s="444">
        <f t="shared" si="3"/>
        <v>7543.3432</v>
      </c>
    </row>
    <row r="141" spans="2:7" ht="12.75">
      <c r="B141" s="441" t="s">
        <v>688</v>
      </c>
      <c r="C141" s="442" t="s">
        <v>233</v>
      </c>
      <c r="D141" s="443">
        <v>0.0603</v>
      </c>
      <c r="E141" s="444">
        <f t="shared" si="2"/>
        <v>6830.1749</v>
      </c>
      <c r="F141" s="443">
        <v>0.0603</v>
      </c>
      <c r="G141" s="444">
        <f t="shared" si="3"/>
        <v>6923.6472</v>
      </c>
    </row>
    <row r="142" spans="2:7" ht="12.75">
      <c r="B142" s="441" t="s">
        <v>689</v>
      </c>
      <c r="C142" s="442" t="s">
        <v>234</v>
      </c>
      <c r="D142" s="443">
        <v>0.1326</v>
      </c>
      <c r="E142" s="444">
        <f t="shared" si="2"/>
        <v>7118.1458</v>
      </c>
      <c r="F142" s="443">
        <v>0.1326</v>
      </c>
      <c r="G142" s="444">
        <f t="shared" si="3"/>
        <v>7214.5824</v>
      </c>
    </row>
    <row r="143" spans="2:7" ht="12.75">
      <c r="B143" s="441" t="s">
        <v>690</v>
      </c>
      <c r="C143" s="442" t="s">
        <v>235</v>
      </c>
      <c r="D143" s="443">
        <v>0.1466</v>
      </c>
      <c r="E143" s="444">
        <f t="shared" si="2"/>
        <v>7173.9078</v>
      </c>
      <c r="F143" s="443">
        <v>0.1466</v>
      </c>
      <c r="G143" s="444">
        <f t="shared" si="3"/>
        <v>7270.9184000000005</v>
      </c>
    </row>
    <row r="144" spans="2:7" ht="12.75">
      <c r="B144" s="441" t="s">
        <v>691</v>
      </c>
      <c r="C144" s="442" t="s">
        <v>236</v>
      </c>
      <c r="D144" s="443">
        <v>0.1323</v>
      </c>
      <c r="E144" s="444">
        <f t="shared" si="2"/>
        <v>7116.9509</v>
      </c>
      <c r="F144" s="443">
        <v>0.1323</v>
      </c>
      <c r="G144" s="444">
        <f t="shared" si="3"/>
        <v>7213.3752</v>
      </c>
    </row>
    <row r="145" spans="2:7" ht="12.75">
      <c r="B145" s="441" t="s">
        <v>692</v>
      </c>
      <c r="C145" s="442" t="s">
        <v>237</v>
      </c>
      <c r="D145" s="443">
        <v>0.3214</v>
      </c>
      <c r="E145" s="444">
        <f aca="true" t="shared" si="4" ref="E145:E208">(D145*$J$18)+$J$17</f>
        <v>7870.1362</v>
      </c>
      <c r="F145" s="443">
        <v>0.3214</v>
      </c>
      <c r="G145" s="444">
        <f t="shared" si="3"/>
        <v>7974.3136</v>
      </c>
    </row>
    <row r="146" spans="2:7" ht="12.75">
      <c r="B146" s="441" t="s">
        <v>693</v>
      </c>
      <c r="C146" s="442" t="s">
        <v>238</v>
      </c>
      <c r="D146" s="443">
        <v>0.2087</v>
      </c>
      <c r="E146" s="444">
        <f t="shared" si="4"/>
        <v>7421.2521</v>
      </c>
      <c r="F146" s="443">
        <v>0.2087</v>
      </c>
      <c r="G146" s="444">
        <f t="shared" si="3"/>
        <v>7520.8088</v>
      </c>
    </row>
    <row r="147" spans="2:7" ht="12.75">
      <c r="B147" s="441" t="s">
        <v>694</v>
      </c>
      <c r="C147" s="442" t="s">
        <v>239</v>
      </c>
      <c r="D147" s="443">
        <v>0.2657</v>
      </c>
      <c r="E147" s="444">
        <f t="shared" si="4"/>
        <v>7648.2831</v>
      </c>
      <c r="F147" s="443">
        <v>0.2657</v>
      </c>
      <c r="G147" s="444">
        <f aca="true" t="shared" si="5" ref="G147:G210">(F147*$K$18)+$K$17</f>
        <v>7750.1768</v>
      </c>
    </row>
    <row r="148" spans="2:7" ht="12.75">
      <c r="B148" s="441" t="s">
        <v>695</v>
      </c>
      <c r="C148" s="442" t="s">
        <v>240</v>
      </c>
      <c r="D148" s="443">
        <v>0.225</v>
      </c>
      <c r="E148" s="444">
        <f t="shared" si="4"/>
        <v>7486.175</v>
      </c>
      <c r="F148" s="443">
        <v>0.225</v>
      </c>
      <c r="G148" s="444">
        <f t="shared" si="5"/>
        <v>7586.4</v>
      </c>
    </row>
    <row r="149" spans="2:7" ht="12.75">
      <c r="B149" s="441" t="s">
        <v>696</v>
      </c>
      <c r="C149" s="442" t="s">
        <v>241</v>
      </c>
      <c r="D149" s="443">
        <v>0.1405</v>
      </c>
      <c r="E149" s="444">
        <f t="shared" si="4"/>
        <v>7149.6115</v>
      </c>
      <c r="F149" s="443">
        <v>0.1405</v>
      </c>
      <c r="G149" s="444">
        <f t="shared" si="5"/>
        <v>7246.372</v>
      </c>
    </row>
    <row r="150" spans="2:7" ht="12.75">
      <c r="B150" s="441" t="s">
        <v>697</v>
      </c>
      <c r="C150" s="442" t="s">
        <v>242</v>
      </c>
      <c r="D150" s="443">
        <v>0.2425</v>
      </c>
      <c r="E150" s="444">
        <f t="shared" si="4"/>
        <v>7555.8775</v>
      </c>
      <c r="F150" s="443">
        <v>0.2425</v>
      </c>
      <c r="G150" s="444">
        <f t="shared" si="5"/>
        <v>7656.82</v>
      </c>
    </row>
    <row r="151" spans="2:7" ht="12.75">
      <c r="B151" s="441" t="s">
        <v>698</v>
      </c>
      <c r="C151" s="442" t="s">
        <v>243</v>
      </c>
      <c r="D151" s="443">
        <v>0.1061</v>
      </c>
      <c r="E151" s="444">
        <f t="shared" si="4"/>
        <v>7012.5963</v>
      </c>
      <c r="F151" s="443">
        <v>0.1061</v>
      </c>
      <c r="G151" s="444">
        <f t="shared" si="5"/>
        <v>7107.9464</v>
      </c>
    </row>
    <row r="152" spans="2:7" ht="12.75">
      <c r="B152" s="441" t="s">
        <v>699</v>
      </c>
      <c r="C152" s="442" t="s">
        <v>244</v>
      </c>
      <c r="D152" s="443">
        <v>0.4312</v>
      </c>
      <c r="E152" s="444">
        <f t="shared" si="4"/>
        <v>8307.4696</v>
      </c>
      <c r="F152" s="443">
        <v>0.4312</v>
      </c>
      <c r="G152" s="444">
        <f t="shared" si="5"/>
        <v>8416.1488</v>
      </c>
    </row>
    <row r="153" spans="2:7" ht="12.75">
      <c r="B153" s="441" t="s">
        <v>700</v>
      </c>
      <c r="C153" s="442" t="s">
        <v>245</v>
      </c>
      <c r="D153" s="443">
        <v>0.2718</v>
      </c>
      <c r="E153" s="444">
        <f t="shared" si="4"/>
        <v>7672.5794</v>
      </c>
      <c r="F153" s="443">
        <v>0.2718</v>
      </c>
      <c r="G153" s="444">
        <f t="shared" si="5"/>
        <v>7774.7232</v>
      </c>
    </row>
    <row r="154" spans="2:7" ht="12.75">
      <c r="B154" s="441" t="s">
        <v>701</v>
      </c>
      <c r="C154" s="457" t="s">
        <v>246</v>
      </c>
      <c r="D154" s="443">
        <v>0.2474</v>
      </c>
      <c r="E154" s="444">
        <f t="shared" si="4"/>
        <v>7575.3942</v>
      </c>
      <c r="F154" s="443">
        <v>0.2474</v>
      </c>
      <c r="G154" s="444">
        <f t="shared" si="5"/>
        <v>7676.5376</v>
      </c>
    </row>
    <row r="155" spans="2:7" ht="12.75">
      <c r="B155" s="441" t="s">
        <v>702</v>
      </c>
      <c r="C155" s="442" t="s">
        <v>247</v>
      </c>
      <c r="D155" s="443">
        <v>0.4139</v>
      </c>
      <c r="E155" s="444">
        <f t="shared" si="4"/>
        <v>8238.5637</v>
      </c>
      <c r="F155" s="443">
        <v>0.4139</v>
      </c>
      <c r="G155" s="444">
        <f t="shared" si="5"/>
        <v>8346.5336</v>
      </c>
    </row>
    <row r="156" spans="2:7" ht="12.75">
      <c r="B156" s="441" t="s">
        <v>703</v>
      </c>
      <c r="C156" s="442" t="s">
        <v>248</v>
      </c>
      <c r="D156" s="443">
        <v>0.0501</v>
      </c>
      <c r="E156" s="444">
        <f t="shared" si="4"/>
        <v>6789.5483</v>
      </c>
      <c r="F156" s="443">
        <v>0.0501</v>
      </c>
      <c r="G156" s="444">
        <f t="shared" si="5"/>
        <v>6882.6024</v>
      </c>
    </row>
    <row r="157" spans="2:7" ht="12.75">
      <c r="B157" s="441" t="s">
        <v>704</v>
      </c>
      <c r="C157" s="442" t="s">
        <v>249</v>
      </c>
      <c r="D157" s="443">
        <v>0.1294</v>
      </c>
      <c r="E157" s="444">
        <f t="shared" si="4"/>
        <v>7105.4002</v>
      </c>
      <c r="F157" s="443">
        <v>0.1294</v>
      </c>
      <c r="G157" s="444">
        <f t="shared" si="5"/>
        <v>7201.7056</v>
      </c>
    </row>
    <row r="158" spans="2:7" ht="12.75">
      <c r="B158" s="441" t="s">
        <v>705</v>
      </c>
      <c r="C158" s="442" t="s">
        <v>250</v>
      </c>
      <c r="D158" s="443">
        <v>0.0792</v>
      </c>
      <c r="E158" s="444">
        <f t="shared" si="4"/>
        <v>6905.4536</v>
      </c>
      <c r="F158" s="443">
        <v>0.0792</v>
      </c>
      <c r="G158" s="444">
        <f t="shared" si="5"/>
        <v>6999.7008</v>
      </c>
    </row>
    <row r="159" spans="2:7" ht="12.75">
      <c r="B159" s="441" t="s">
        <v>706</v>
      </c>
      <c r="C159" s="442" t="s">
        <v>251</v>
      </c>
      <c r="D159" s="443">
        <v>0.273</v>
      </c>
      <c r="E159" s="444">
        <f t="shared" si="4"/>
        <v>7677.359</v>
      </c>
      <c r="F159" s="443">
        <v>0.273</v>
      </c>
      <c r="G159" s="444">
        <f t="shared" si="5"/>
        <v>7779.552</v>
      </c>
    </row>
    <row r="160" spans="2:7" ht="12.75">
      <c r="B160" s="441" t="s">
        <v>707</v>
      </c>
      <c r="C160" s="442" t="s">
        <v>252</v>
      </c>
      <c r="D160" s="443">
        <v>0.1911</v>
      </c>
      <c r="E160" s="444">
        <f t="shared" si="4"/>
        <v>7351.1512999999995</v>
      </c>
      <c r="F160" s="443">
        <v>0.1911</v>
      </c>
      <c r="G160" s="444">
        <f t="shared" si="5"/>
        <v>7449.9864</v>
      </c>
    </row>
    <row r="161" spans="2:7" ht="12.75">
      <c r="B161" s="441" t="s">
        <v>708</v>
      </c>
      <c r="C161" s="442" t="s">
        <v>253</v>
      </c>
      <c r="D161" s="443">
        <v>0.2017</v>
      </c>
      <c r="E161" s="444">
        <f t="shared" si="4"/>
        <v>7393.3711</v>
      </c>
      <c r="F161" s="443">
        <v>0.2017</v>
      </c>
      <c r="G161" s="444">
        <f t="shared" si="5"/>
        <v>7492.6408</v>
      </c>
    </row>
    <row r="162" spans="2:7" ht="12.75">
      <c r="B162" s="441" t="s">
        <v>709</v>
      </c>
      <c r="C162" s="442" t="s">
        <v>254</v>
      </c>
      <c r="D162" s="443">
        <v>0.1432</v>
      </c>
      <c r="E162" s="444">
        <f t="shared" si="4"/>
        <v>7160.3656</v>
      </c>
      <c r="F162" s="443">
        <v>0.1432</v>
      </c>
      <c r="G162" s="444">
        <f t="shared" si="5"/>
        <v>7257.2368</v>
      </c>
    </row>
    <row r="163" spans="2:7" ht="12.75">
      <c r="B163" s="441" t="s">
        <v>710</v>
      </c>
      <c r="C163" s="442" t="s">
        <v>255</v>
      </c>
      <c r="D163" s="443">
        <v>0.1033</v>
      </c>
      <c r="E163" s="444">
        <f t="shared" si="4"/>
        <v>7001.4439</v>
      </c>
      <c r="F163" s="443">
        <v>0.1033</v>
      </c>
      <c r="G163" s="444">
        <f t="shared" si="5"/>
        <v>7096.6792000000005</v>
      </c>
    </row>
    <row r="164" spans="2:7" ht="12.75">
      <c r="B164" s="441" t="s">
        <v>711</v>
      </c>
      <c r="C164" s="442" t="s">
        <v>256</v>
      </c>
      <c r="D164" s="443">
        <v>0.1202</v>
      </c>
      <c r="E164" s="444">
        <f t="shared" si="4"/>
        <v>7068.7566</v>
      </c>
      <c r="F164" s="443">
        <v>0.1202</v>
      </c>
      <c r="G164" s="444">
        <f t="shared" si="5"/>
        <v>7164.6848</v>
      </c>
    </row>
    <row r="165" spans="2:7" ht="12.75">
      <c r="B165" s="441" t="s">
        <v>712</v>
      </c>
      <c r="C165" s="442" t="s">
        <v>257</v>
      </c>
      <c r="D165" s="443">
        <v>0.0753</v>
      </c>
      <c r="E165" s="444">
        <f t="shared" si="4"/>
        <v>6889.9199</v>
      </c>
      <c r="F165" s="443">
        <v>0.0753</v>
      </c>
      <c r="G165" s="444">
        <f t="shared" si="5"/>
        <v>6984.0072</v>
      </c>
    </row>
    <row r="166" spans="2:7" ht="12.75">
      <c r="B166" s="441" t="s">
        <v>713</v>
      </c>
      <c r="C166" s="442" t="s">
        <v>258</v>
      </c>
      <c r="D166" s="443">
        <v>0.4452</v>
      </c>
      <c r="E166" s="444">
        <f t="shared" si="4"/>
        <v>8363.2316</v>
      </c>
      <c r="F166" s="443">
        <v>0.4452</v>
      </c>
      <c r="G166" s="444">
        <f t="shared" si="5"/>
        <v>8472.4848</v>
      </c>
    </row>
    <row r="167" spans="2:7" ht="12.75">
      <c r="B167" s="441" t="s">
        <v>714</v>
      </c>
      <c r="C167" s="442" t="s">
        <v>259</v>
      </c>
      <c r="D167" s="443">
        <v>0.1243</v>
      </c>
      <c r="E167" s="444">
        <f t="shared" si="4"/>
        <v>7085.0869</v>
      </c>
      <c r="F167" s="443">
        <v>0.1243</v>
      </c>
      <c r="G167" s="444">
        <f t="shared" si="5"/>
        <v>7181.1832</v>
      </c>
    </row>
    <row r="168" spans="2:9" ht="12.75">
      <c r="B168" s="441" t="s">
        <v>715</v>
      </c>
      <c r="C168" s="442" t="s">
        <v>260</v>
      </c>
      <c r="D168" s="443">
        <v>0.146</v>
      </c>
      <c r="E168" s="444">
        <f t="shared" si="4"/>
        <v>7171.518</v>
      </c>
      <c r="F168" s="443">
        <v>0.146</v>
      </c>
      <c r="G168" s="444">
        <f t="shared" si="5"/>
        <v>7268.504</v>
      </c>
      <c r="I168" s="17"/>
    </row>
    <row r="169" spans="2:7" ht="12.75">
      <c r="B169" s="441" t="s">
        <v>716</v>
      </c>
      <c r="C169" s="442" t="s">
        <v>261</v>
      </c>
      <c r="D169" s="443">
        <v>0.245</v>
      </c>
      <c r="E169" s="444">
        <f t="shared" si="4"/>
        <v>7565.835</v>
      </c>
      <c r="F169" s="443">
        <v>0.245</v>
      </c>
      <c r="G169" s="444">
        <f t="shared" si="5"/>
        <v>7666.88</v>
      </c>
    </row>
    <row r="170" spans="2:7" ht="12.75">
      <c r="B170" s="441" t="s">
        <v>717</v>
      </c>
      <c r="C170" s="442" t="s">
        <v>262</v>
      </c>
      <c r="D170" s="443">
        <v>0.1031</v>
      </c>
      <c r="E170" s="444">
        <f t="shared" si="4"/>
        <v>7000.6473</v>
      </c>
      <c r="F170" s="443">
        <v>0.1031</v>
      </c>
      <c r="G170" s="444">
        <f t="shared" si="5"/>
        <v>7095.8744</v>
      </c>
    </row>
    <row r="171" spans="2:7" ht="12.75">
      <c r="B171" s="441" t="s">
        <v>718</v>
      </c>
      <c r="C171" s="442" t="s">
        <v>263</v>
      </c>
      <c r="D171" s="443">
        <v>0.0819</v>
      </c>
      <c r="E171" s="444">
        <f t="shared" si="4"/>
        <v>6916.2077</v>
      </c>
      <c r="F171" s="443">
        <v>0.0819</v>
      </c>
      <c r="G171" s="444">
        <f t="shared" si="5"/>
        <v>7010.5656</v>
      </c>
    </row>
    <row r="172" spans="2:7" ht="12.75">
      <c r="B172" s="441" t="s">
        <v>719</v>
      </c>
      <c r="C172" s="442" t="s">
        <v>264</v>
      </c>
      <c r="D172" s="443">
        <v>0.0593</v>
      </c>
      <c r="E172" s="444">
        <f t="shared" si="4"/>
        <v>6826.1919</v>
      </c>
      <c r="F172" s="443">
        <v>0.0593</v>
      </c>
      <c r="G172" s="444">
        <f t="shared" si="5"/>
        <v>6919.6232</v>
      </c>
    </row>
    <row r="173" spans="2:7" ht="12.75">
      <c r="B173" s="441" t="s">
        <v>720</v>
      </c>
      <c r="C173" s="442" t="s">
        <v>265</v>
      </c>
      <c r="D173" s="443">
        <v>0.164</v>
      </c>
      <c r="E173" s="444">
        <f t="shared" si="4"/>
        <v>7243.2119999999995</v>
      </c>
      <c r="F173" s="443">
        <v>0.164</v>
      </c>
      <c r="G173" s="444">
        <f t="shared" si="5"/>
        <v>7340.936</v>
      </c>
    </row>
    <row r="174" spans="2:7" ht="12.75">
      <c r="B174" s="441" t="s">
        <v>721</v>
      </c>
      <c r="C174" s="442" t="s">
        <v>266</v>
      </c>
      <c r="D174" s="443">
        <v>0.211</v>
      </c>
      <c r="E174" s="444">
        <f t="shared" si="4"/>
        <v>7430.4130000000005</v>
      </c>
      <c r="F174" s="443">
        <v>0.211</v>
      </c>
      <c r="G174" s="444">
        <f t="shared" si="5"/>
        <v>7530.064</v>
      </c>
    </row>
    <row r="175" spans="2:7" ht="12.75">
      <c r="B175" s="441" t="s">
        <v>722</v>
      </c>
      <c r="C175" s="442" t="s">
        <v>267</v>
      </c>
      <c r="D175" s="443">
        <v>0.1101</v>
      </c>
      <c r="E175" s="444">
        <f t="shared" si="4"/>
        <v>7028.5283</v>
      </c>
      <c r="F175" s="443">
        <v>0.1101</v>
      </c>
      <c r="G175" s="444">
        <f t="shared" si="5"/>
        <v>7124.0424</v>
      </c>
    </row>
    <row r="176" spans="2:7" ht="12.75">
      <c r="B176" s="441" t="s">
        <v>723</v>
      </c>
      <c r="C176" s="442" t="s">
        <v>268</v>
      </c>
      <c r="D176" s="443">
        <v>0.1845</v>
      </c>
      <c r="E176" s="444">
        <f t="shared" si="4"/>
        <v>7324.8635</v>
      </c>
      <c r="F176" s="443">
        <v>0.1845</v>
      </c>
      <c r="G176" s="444">
        <f t="shared" si="5"/>
        <v>7423.428</v>
      </c>
    </row>
    <row r="177" spans="2:7" ht="12.75">
      <c r="B177" s="441" t="s">
        <v>724</v>
      </c>
      <c r="C177" s="442" t="s">
        <v>269</v>
      </c>
      <c r="D177" s="443">
        <v>0.11</v>
      </c>
      <c r="E177" s="444">
        <f t="shared" si="4"/>
        <v>7028.13</v>
      </c>
      <c r="F177" s="443">
        <v>0.11</v>
      </c>
      <c r="G177" s="444">
        <f t="shared" si="5"/>
        <v>7123.64</v>
      </c>
    </row>
    <row r="178" spans="2:7" ht="12.75">
      <c r="B178" s="441" t="s">
        <v>725</v>
      </c>
      <c r="C178" s="442" t="s">
        <v>270</v>
      </c>
      <c r="D178" s="443">
        <v>0.2108</v>
      </c>
      <c r="E178" s="444">
        <f t="shared" si="4"/>
        <v>7429.6164</v>
      </c>
      <c r="F178" s="443">
        <v>0.2108</v>
      </c>
      <c r="G178" s="444">
        <f t="shared" si="5"/>
        <v>7529.2592</v>
      </c>
    </row>
    <row r="179" spans="2:7" ht="12.75">
      <c r="B179" s="441" t="s">
        <v>726</v>
      </c>
      <c r="C179" s="442" t="s">
        <v>271</v>
      </c>
      <c r="D179" s="443">
        <v>0.182</v>
      </c>
      <c r="E179" s="444">
        <f t="shared" si="4"/>
        <v>7314.906</v>
      </c>
      <c r="F179" s="443">
        <v>0.182</v>
      </c>
      <c r="G179" s="444">
        <f t="shared" si="5"/>
        <v>7413.368</v>
      </c>
    </row>
    <row r="180" spans="2:7" ht="12.75">
      <c r="B180" s="441" t="s">
        <v>727</v>
      </c>
      <c r="C180" s="442" t="s">
        <v>272</v>
      </c>
      <c r="D180" s="443">
        <v>0.1323</v>
      </c>
      <c r="E180" s="444">
        <f t="shared" si="4"/>
        <v>7116.9509</v>
      </c>
      <c r="F180" s="443">
        <v>0.1323</v>
      </c>
      <c r="G180" s="444">
        <f t="shared" si="5"/>
        <v>7213.3752</v>
      </c>
    </row>
    <row r="181" spans="2:7" ht="12.75">
      <c r="B181" s="441" t="s">
        <v>728</v>
      </c>
      <c r="C181" s="456" t="s">
        <v>273</v>
      </c>
      <c r="D181" s="443">
        <v>0.1425</v>
      </c>
      <c r="E181" s="444">
        <f t="shared" si="4"/>
        <v>7157.5775</v>
      </c>
      <c r="F181" s="443">
        <v>0.1425</v>
      </c>
      <c r="G181" s="444">
        <f t="shared" si="5"/>
        <v>7254.42</v>
      </c>
    </row>
    <row r="182" spans="2:7" ht="12.75">
      <c r="B182" s="441" t="s">
        <v>729</v>
      </c>
      <c r="C182" s="442" t="s">
        <v>274</v>
      </c>
      <c r="D182" s="443">
        <v>0.1177</v>
      </c>
      <c r="E182" s="444">
        <f t="shared" si="4"/>
        <v>7058.7991</v>
      </c>
      <c r="F182" s="443">
        <v>0.1177</v>
      </c>
      <c r="G182" s="444">
        <f t="shared" si="5"/>
        <v>7154.6248</v>
      </c>
    </row>
    <row r="183" spans="2:7" ht="12.75">
      <c r="B183" s="441" t="s">
        <v>730</v>
      </c>
      <c r="C183" s="442" t="s">
        <v>275</v>
      </c>
      <c r="D183" s="443">
        <v>0.1457</v>
      </c>
      <c r="E183" s="444">
        <f t="shared" si="4"/>
        <v>7170.3231</v>
      </c>
      <c r="F183" s="443">
        <v>0.1457</v>
      </c>
      <c r="G183" s="444">
        <f t="shared" si="5"/>
        <v>7267.2968</v>
      </c>
    </row>
    <row r="184" spans="2:7" ht="12.75">
      <c r="B184" s="441" t="s">
        <v>731</v>
      </c>
      <c r="C184" s="442" t="s">
        <v>276</v>
      </c>
      <c r="D184" s="443">
        <v>0.1219</v>
      </c>
      <c r="E184" s="444">
        <f t="shared" si="4"/>
        <v>7075.5277</v>
      </c>
      <c r="F184" s="443">
        <v>0.1219</v>
      </c>
      <c r="G184" s="444">
        <f t="shared" si="5"/>
        <v>7171.5256</v>
      </c>
    </row>
    <row r="185" spans="2:7" ht="12.75">
      <c r="B185" s="441" t="s">
        <v>732</v>
      </c>
      <c r="C185" s="442" t="s">
        <v>277</v>
      </c>
      <c r="D185" s="443">
        <v>0.0924</v>
      </c>
      <c r="E185" s="444">
        <f t="shared" si="4"/>
        <v>6958.0292</v>
      </c>
      <c r="F185" s="443">
        <v>0.0924</v>
      </c>
      <c r="G185" s="444">
        <f t="shared" si="5"/>
        <v>7052.8176</v>
      </c>
    </row>
    <row r="186" spans="2:7" ht="12.75">
      <c r="B186" s="441" t="s">
        <v>733</v>
      </c>
      <c r="C186" s="442" t="s">
        <v>278</v>
      </c>
      <c r="D186" s="443">
        <v>0.1605</v>
      </c>
      <c r="E186" s="444">
        <f t="shared" si="4"/>
        <v>7229.2715</v>
      </c>
      <c r="F186" s="443">
        <v>0.1605</v>
      </c>
      <c r="G186" s="444">
        <f t="shared" si="5"/>
        <v>7326.852</v>
      </c>
    </row>
    <row r="187" spans="2:7" ht="12.75">
      <c r="B187" s="441" t="s">
        <v>734</v>
      </c>
      <c r="C187" s="442" t="s">
        <v>279</v>
      </c>
      <c r="D187" s="443">
        <v>0.0392</v>
      </c>
      <c r="E187" s="444">
        <f t="shared" si="4"/>
        <v>6746.1336</v>
      </c>
      <c r="F187" s="443">
        <v>0.0392</v>
      </c>
      <c r="G187" s="444">
        <f t="shared" si="5"/>
        <v>6838.7408</v>
      </c>
    </row>
    <row r="188" spans="2:7" ht="12.75">
      <c r="B188" s="441" t="s">
        <v>735</v>
      </c>
      <c r="C188" s="442" t="s">
        <v>280</v>
      </c>
      <c r="D188" s="443">
        <v>0.197</v>
      </c>
      <c r="E188" s="444">
        <f t="shared" si="4"/>
        <v>7374.651</v>
      </c>
      <c r="F188" s="443">
        <v>0.197</v>
      </c>
      <c r="G188" s="444">
        <f t="shared" si="5"/>
        <v>7473.728</v>
      </c>
    </row>
    <row r="189" spans="2:7" ht="12.75">
      <c r="B189" s="441" t="s">
        <v>736</v>
      </c>
      <c r="C189" s="442" t="s">
        <v>281</v>
      </c>
      <c r="D189" s="443">
        <v>0.0465</v>
      </c>
      <c r="E189" s="444">
        <f t="shared" si="4"/>
        <v>6775.2095</v>
      </c>
      <c r="F189" s="443">
        <v>0.0465</v>
      </c>
      <c r="G189" s="444">
        <f t="shared" si="5"/>
        <v>6868.116</v>
      </c>
    </row>
    <row r="190" spans="2:7" ht="12.75">
      <c r="B190" s="441" t="s">
        <v>737</v>
      </c>
      <c r="C190" s="456" t="s">
        <v>282</v>
      </c>
      <c r="D190" s="443">
        <v>0.2077</v>
      </c>
      <c r="E190" s="444">
        <f t="shared" si="4"/>
        <v>7417.2690999999995</v>
      </c>
      <c r="F190" s="443">
        <v>0.2077</v>
      </c>
      <c r="G190" s="444">
        <f t="shared" si="5"/>
        <v>7516.7848</v>
      </c>
    </row>
    <row r="191" spans="2:7" ht="12.75">
      <c r="B191" s="441" t="s">
        <v>738</v>
      </c>
      <c r="C191" s="442" t="s">
        <v>283</v>
      </c>
      <c r="D191" s="443">
        <v>0.1311</v>
      </c>
      <c r="E191" s="444">
        <f t="shared" si="4"/>
        <v>7112.1713</v>
      </c>
      <c r="F191" s="443">
        <v>0.1311</v>
      </c>
      <c r="G191" s="444">
        <f t="shared" si="5"/>
        <v>7208.5464</v>
      </c>
    </row>
    <row r="192" spans="2:7" ht="12.75">
      <c r="B192" s="441" t="s">
        <v>739</v>
      </c>
      <c r="C192" s="442" t="s">
        <v>284</v>
      </c>
      <c r="D192" s="443">
        <v>0.0612</v>
      </c>
      <c r="E192" s="444">
        <f t="shared" si="4"/>
        <v>6833.7596</v>
      </c>
      <c r="F192" s="443">
        <v>0.0612</v>
      </c>
      <c r="G192" s="444">
        <f t="shared" si="5"/>
        <v>6927.2688</v>
      </c>
    </row>
    <row r="193" spans="2:7" ht="12.75">
      <c r="B193" s="441" t="s">
        <v>740</v>
      </c>
      <c r="C193" s="442" t="s">
        <v>285</v>
      </c>
      <c r="D193" s="443">
        <v>0.0407</v>
      </c>
      <c r="E193" s="444">
        <f t="shared" si="4"/>
        <v>6752.1081</v>
      </c>
      <c r="F193" s="443">
        <v>0.0407</v>
      </c>
      <c r="G193" s="444">
        <f t="shared" si="5"/>
        <v>6844.7768</v>
      </c>
    </row>
    <row r="194" spans="2:7" ht="12.75">
      <c r="B194" s="441" t="s">
        <v>741</v>
      </c>
      <c r="C194" s="442" t="s">
        <v>286</v>
      </c>
      <c r="D194" s="443">
        <v>0.0848</v>
      </c>
      <c r="E194" s="444">
        <f t="shared" si="4"/>
        <v>6927.7584</v>
      </c>
      <c r="F194" s="443">
        <v>0.0848</v>
      </c>
      <c r="G194" s="444">
        <f t="shared" si="5"/>
        <v>7022.2352</v>
      </c>
    </row>
    <row r="195" spans="2:7" ht="12.75">
      <c r="B195" s="441" t="s">
        <v>742</v>
      </c>
      <c r="C195" s="442" t="s">
        <v>287</v>
      </c>
      <c r="D195" s="443">
        <v>0.0929</v>
      </c>
      <c r="E195" s="444">
        <f t="shared" si="4"/>
        <v>6960.0207</v>
      </c>
      <c r="F195" s="443">
        <v>0.0929</v>
      </c>
      <c r="G195" s="444">
        <f t="shared" si="5"/>
        <v>7054.8296</v>
      </c>
    </row>
    <row r="196" spans="2:7" ht="12.75">
      <c r="B196" s="441" t="s">
        <v>743</v>
      </c>
      <c r="C196" s="442" t="s">
        <v>288</v>
      </c>
      <c r="D196" s="443">
        <v>0.1305</v>
      </c>
      <c r="E196" s="444">
        <f t="shared" si="4"/>
        <v>7109.7815</v>
      </c>
      <c r="F196" s="443">
        <v>0.1305</v>
      </c>
      <c r="G196" s="444">
        <f t="shared" si="5"/>
        <v>7206.132</v>
      </c>
    </row>
    <row r="197" spans="2:7" ht="12.75">
      <c r="B197" s="441" t="s">
        <v>744</v>
      </c>
      <c r="C197" s="456" t="s">
        <v>289</v>
      </c>
      <c r="D197" s="443">
        <v>0.2306</v>
      </c>
      <c r="E197" s="444">
        <f t="shared" si="4"/>
        <v>7508.4798</v>
      </c>
      <c r="F197" s="443">
        <v>0.2306</v>
      </c>
      <c r="G197" s="444">
        <f t="shared" si="5"/>
        <v>7608.9344</v>
      </c>
    </row>
    <row r="198" spans="2:7" ht="12.75">
      <c r="B198" s="441" t="s">
        <v>745</v>
      </c>
      <c r="C198" s="456" t="s">
        <v>290</v>
      </c>
      <c r="D198" s="443">
        <v>0.1437</v>
      </c>
      <c r="E198" s="444">
        <f t="shared" si="4"/>
        <v>7162.3571</v>
      </c>
      <c r="F198" s="443">
        <v>0.1437</v>
      </c>
      <c r="G198" s="444">
        <f t="shared" si="5"/>
        <v>7259.2488</v>
      </c>
    </row>
    <row r="199" spans="2:7" ht="12.75">
      <c r="B199" s="441" t="s">
        <v>746</v>
      </c>
      <c r="C199" s="442" t="s">
        <v>291</v>
      </c>
      <c r="D199" s="443">
        <v>0.1522</v>
      </c>
      <c r="E199" s="444">
        <f t="shared" si="4"/>
        <v>7196.2126</v>
      </c>
      <c r="F199" s="443">
        <v>0.1522</v>
      </c>
      <c r="G199" s="444">
        <f t="shared" si="5"/>
        <v>7293.4528</v>
      </c>
    </row>
    <row r="200" spans="2:7" ht="12.75">
      <c r="B200" s="441" t="s">
        <v>747</v>
      </c>
      <c r="C200" s="442" t="s">
        <v>292</v>
      </c>
      <c r="D200" s="443">
        <v>0.0718</v>
      </c>
      <c r="E200" s="444">
        <f t="shared" si="4"/>
        <v>6875.9794</v>
      </c>
      <c r="F200" s="443">
        <v>0.0718</v>
      </c>
      <c r="G200" s="444">
        <f t="shared" si="5"/>
        <v>6969.9232</v>
      </c>
    </row>
    <row r="201" spans="2:7" ht="12.75">
      <c r="B201" s="441" t="s">
        <v>748</v>
      </c>
      <c r="C201" s="442" t="s">
        <v>293</v>
      </c>
      <c r="D201" s="443">
        <v>0.1202</v>
      </c>
      <c r="E201" s="444">
        <f t="shared" si="4"/>
        <v>7068.7566</v>
      </c>
      <c r="F201" s="443">
        <v>0.1202</v>
      </c>
      <c r="G201" s="444">
        <f t="shared" si="5"/>
        <v>7164.6848</v>
      </c>
    </row>
    <row r="202" spans="2:7" ht="12.75">
      <c r="B202" s="441" t="s">
        <v>749</v>
      </c>
      <c r="C202" s="442" t="s">
        <v>294</v>
      </c>
      <c r="D202" s="443">
        <v>0.2886</v>
      </c>
      <c r="E202" s="444">
        <f t="shared" si="4"/>
        <v>7739.4938</v>
      </c>
      <c r="F202" s="443">
        <v>0.2886</v>
      </c>
      <c r="G202" s="444">
        <f t="shared" si="5"/>
        <v>7842.3264</v>
      </c>
    </row>
    <row r="203" spans="2:7" ht="12.75">
      <c r="B203" s="441" t="s">
        <v>750</v>
      </c>
      <c r="C203" s="442" t="s">
        <v>295</v>
      </c>
      <c r="D203" s="443">
        <v>0.157</v>
      </c>
      <c r="E203" s="444">
        <f t="shared" si="4"/>
        <v>7215.331</v>
      </c>
      <c r="F203" s="443">
        <v>0.157</v>
      </c>
      <c r="G203" s="444">
        <f t="shared" si="5"/>
        <v>7312.768</v>
      </c>
    </row>
    <row r="204" spans="2:7" ht="12.75">
      <c r="B204" s="441" t="s">
        <v>751</v>
      </c>
      <c r="C204" s="442" t="s">
        <v>296</v>
      </c>
      <c r="D204" s="443">
        <v>0.1291</v>
      </c>
      <c r="E204" s="444">
        <f t="shared" si="4"/>
        <v>7104.2053</v>
      </c>
      <c r="F204" s="443">
        <v>0.1291</v>
      </c>
      <c r="G204" s="444">
        <f t="shared" si="5"/>
        <v>7200.4984</v>
      </c>
    </row>
    <row r="205" spans="2:7" ht="12.75">
      <c r="B205" s="441" t="s">
        <v>752</v>
      </c>
      <c r="C205" s="442" t="s">
        <v>297</v>
      </c>
      <c r="D205" s="443">
        <v>0.0809</v>
      </c>
      <c r="E205" s="444">
        <f t="shared" si="4"/>
        <v>6912.2247</v>
      </c>
      <c r="F205" s="443">
        <v>0.0809</v>
      </c>
      <c r="G205" s="444">
        <f t="shared" si="5"/>
        <v>7006.5416000000005</v>
      </c>
    </row>
    <row r="206" spans="2:7" ht="12.75">
      <c r="B206" s="441" t="s">
        <v>753</v>
      </c>
      <c r="C206" s="442" t="s">
        <v>298</v>
      </c>
      <c r="D206" s="443">
        <v>0.121</v>
      </c>
      <c r="E206" s="444">
        <f t="shared" si="4"/>
        <v>7071.943</v>
      </c>
      <c r="F206" s="443">
        <v>0.121</v>
      </c>
      <c r="G206" s="444">
        <f t="shared" si="5"/>
        <v>7167.904</v>
      </c>
    </row>
    <row r="207" spans="2:7" ht="12.75">
      <c r="B207" s="441" t="s">
        <v>754</v>
      </c>
      <c r="C207" s="442" t="s">
        <v>299</v>
      </c>
      <c r="D207" s="443">
        <v>0.1901</v>
      </c>
      <c r="E207" s="444">
        <f t="shared" si="4"/>
        <v>7347.1683</v>
      </c>
      <c r="F207" s="443">
        <v>0.1901</v>
      </c>
      <c r="G207" s="444">
        <f t="shared" si="5"/>
        <v>7445.9624</v>
      </c>
    </row>
    <row r="208" spans="2:7" ht="12.75">
      <c r="B208" s="441" t="s">
        <v>755</v>
      </c>
      <c r="C208" s="442" t="s">
        <v>300</v>
      </c>
      <c r="D208" s="443">
        <v>0.0552</v>
      </c>
      <c r="E208" s="444">
        <f t="shared" si="4"/>
        <v>6809.8616</v>
      </c>
      <c r="F208" s="443">
        <v>0.0552</v>
      </c>
      <c r="G208" s="444">
        <f t="shared" si="5"/>
        <v>6903.1248</v>
      </c>
    </row>
    <row r="209" spans="2:7" ht="12.75">
      <c r="B209" s="441" t="s">
        <v>756</v>
      </c>
      <c r="C209" s="457" t="s">
        <v>301</v>
      </c>
      <c r="D209" s="443">
        <v>0.116</v>
      </c>
      <c r="E209" s="444">
        <f aca="true" t="shared" si="6" ref="E209:E273">(D209*$J$18)+$J$17</f>
        <v>7052.028</v>
      </c>
      <c r="F209" s="443">
        <v>0.116</v>
      </c>
      <c r="G209" s="444">
        <f t="shared" si="5"/>
        <v>7147.784</v>
      </c>
    </row>
    <row r="210" spans="2:7" ht="12.75">
      <c r="B210" s="441" t="s">
        <v>757</v>
      </c>
      <c r="C210" s="442" t="s">
        <v>302</v>
      </c>
      <c r="D210" s="443">
        <v>0.1616</v>
      </c>
      <c r="E210" s="444">
        <f t="shared" si="6"/>
        <v>7233.6528</v>
      </c>
      <c r="F210" s="443">
        <v>0.1616</v>
      </c>
      <c r="G210" s="444">
        <f t="shared" si="5"/>
        <v>7331.2784</v>
      </c>
    </row>
    <row r="211" spans="2:7" ht="12.75">
      <c r="B211" s="441" t="s">
        <v>758</v>
      </c>
      <c r="C211" s="442" t="s">
        <v>303</v>
      </c>
      <c r="D211" s="443">
        <v>0.25</v>
      </c>
      <c r="E211" s="444">
        <f t="shared" si="6"/>
        <v>7585.75</v>
      </c>
      <c r="F211" s="443">
        <v>0.25</v>
      </c>
      <c r="G211" s="444">
        <f aca="true" t="shared" si="7" ref="G211:G275">(F211*$K$18)+$K$17</f>
        <v>7687</v>
      </c>
    </row>
    <row r="212" spans="2:7" ht="12.75">
      <c r="B212" s="441" t="s">
        <v>759</v>
      </c>
      <c r="C212" s="456" t="s">
        <v>304</v>
      </c>
      <c r="D212" s="443">
        <v>0.2042</v>
      </c>
      <c r="E212" s="444">
        <f t="shared" si="6"/>
        <v>7403.3286</v>
      </c>
      <c r="F212" s="443">
        <v>0.2042</v>
      </c>
      <c r="G212" s="444">
        <f t="shared" si="7"/>
        <v>7502.7008</v>
      </c>
    </row>
    <row r="213" spans="2:7" ht="12.75">
      <c r="B213" s="441" t="s">
        <v>760</v>
      </c>
      <c r="C213" s="442" t="s">
        <v>305</v>
      </c>
      <c r="D213" s="443">
        <v>0.16</v>
      </c>
      <c r="E213" s="444">
        <f t="shared" si="6"/>
        <v>7227.28</v>
      </c>
      <c r="F213" s="443">
        <v>0.16</v>
      </c>
      <c r="G213" s="444">
        <f t="shared" si="7"/>
        <v>7324.84</v>
      </c>
    </row>
    <row r="214" spans="2:7" ht="12.75">
      <c r="B214" s="441" t="s">
        <v>761</v>
      </c>
      <c r="C214" s="442" t="s">
        <v>306</v>
      </c>
      <c r="D214" s="443">
        <v>0.0976</v>
      </c>
      <c r="E214" s="444">
        <f t="shared" si="6"/>
        <v>6978.7408</v>
      </c>
      <c r="F214" s="443">
        <v>0.0976</v>
      </c>
      <c r="G214" s="444">
        <f t="shared" si="7"/>
        <v>7073.7424</v>
      </c>
    </row>
    <row r="215" spans="2:7" ht="12.75">
      <c r="B215" s="441" t="s">
        <v>762</v>
      </c>
      <c r="C215" s="442" t="s">
        <v>307</v>
      </c>
      <c r="D215" s="443">
        <v>0.3442</v>
      </c>
      <c r="E215" s="444">
        <f t="shared" si="6"/>
        <v>7960.9486</v>
      </c>
      <c r="F215" s="443">
        <v>0.3442</v>
      </c>
      <c r="G215" s="444">
        <f t="shared" si="7"/>
        <v>8066.0608</v>
      </c>
    </row>
    <row r="216" spans="2:7" ht="12.75">
      <c r="B216" s="441" t="s">
        <v>763</v>
      </c>
      <c r="C216" s="442" t="s">
        <v>308</v>
      </c>
      <c r="D216" s="443">
        <v>0.1455</v>
      </c>
      <c r="E216" s="444">
        <f t="shared" si="6"/>
        <v>7169.5265</v>
      </c>
      <c r="F216" s="443">
        <v>0.1455</v>
      </c>
      <c r="G216" s="444">
        <f t="shared" si="7"/>
        <v>7266.492</v>
      </c>
    </row>
    <row r="217" spans="2:7" ht="12.75">
      <c r="B217" s="441" t="s">
        <v>764</v>
      </c>
      <c r="C217" s="457" t="s">
        <v>309</v>
      </c>
      <c r="D217" s="443">
        <v>0.3625</v>
      </c>
      <c r="E217" s="444">
        <f t="shared" si="6"/>
        <v>8033.8375</v>
      </c>
      <c r="F217" s="443">
        <v>0.3625</v>
      </c>
      <c r="G217" s="444">
        <f t="shared" si="7"/>
        <v>8139.7</v>
      </c>
    </row>
    <row r="218" spans="2:7" ht="12.75">
      <c r="B218" s="441" t="s">
        <v>765</v>
      </c>
      <c r="C218" s="442" t="s">
        <v>310</v>
      </c>
      <c r="D218" s="443">
        <v>0.1472</v>
      </c>
      <c r="E218" s="444">
        <f t="shared" si="6"/>
        <v>7176.2976</v>
      </c>
      <c r="F218" s="443">
        <v>0.1472</v>
      </c>
      <c r="G218" s="444">
        <f t="shared" si="7"/>
        <v>7273.3328</v>
      </c>
    </row>
    <row r="219" spans="2:7" ht="12.75">
      <c r="B219" s="441" t="s">
        <v>766</v>
      </c>
      <c r="C219" s="442" t="s">
        <v>311</v>
      </c>
      <c r="D219" s="443">
        <v>0.0759</v>
      </c>
      <c r="E219" s="444">
        <f t="shared" si="6"/>
        <v>6892.3097</v>
      </c>
      <c r="F219" s="443">
        <v>0.0759</v>
      </c>
      <c r="G219" s="444">
        <f t="shared" si="7"/>
        <v>6986.4216</v>
      </c>
    </row>
    <row r="220" spans="2:7" ht="12.75">
      <c r="B220" s="441" t="s">
        <v>767</v>
      </c>
      <c r="C220" s="442" t="s">
        <v>312</v>
      </c>
      <c r="D220" s="443">
        <v>0.1663</v>
      </c>
      <c r="E220" s="444">
        <f t="shared" si="6"/>
        <v>7252.3729</v>
      </c>
      <c r="F220" s="443">
        <v>0.1663</v>
      </c>
      <c r="G220" s="444">
        <f t="shared" si="7"/>
        <v>7350.1912</v>
      </c>
    </row>
    <row r="221" spans="2:7" ht="12.75">
      <c r="B221" s="441" t="s">
        <v>768</v>
      </c>
      <c r="C221" s="442" t="s">
        <v>313</v>
      </c>
      <c r="D221" s="443">
        <v>0.1784</v>
      </c>
      <c r="E221" s="444">
        <f t="shared" si="6"/>
        <v>7300.5671999999995</v>
      </c>
      <c r="F221" s="443">
        <v>0.1784</v>
      </c>
      <c r="G221" s="444">
        <f t="shared" si="7"/>
        <v>7398.8816</v>
      </c>
    </row>
    <row r="222" spans="2:7" ht="12.75">
      <c r="B222" s="441" t="s">
        <v>769</v>
      </c>
      <c r="C222" s="457" t="s">
        <v>314</v>
      </c>
      <c r="D222" s="443">
        <v>0.4607</v>
      </c>
      <c r="E222" s="444">
        <f t="shared" si="6"/>
        <v>8424.9681</v>
      </c>
      <c r="F222" s="443">
        <v>0.4607</v>
      </c>
      <c r="G222" s="444">
        <f t="shared" si="7"/>
        <v>8534.8568</v>
      </c>
    </row>
    <row r="223" spans="2:7" ht="12.75">
      <c r="B223" s="441" t="s">
        <v>770</v>
      </c>
      <c r="C223" s="457" t="s">
        <v>315</v>
      </c>
      <c r="D223" s="443">
        <v>0.3452</v>
      </c>
      <c r="E223" s="444">
        <f t="shared" si="6"/>
        <v>7964.9316</v>
      </c>
      <c r="F223" s="443">
        <v>0.3452</v>
      </c>
      <c r="G223" s="444">
        <f t="shared" si="7"/>
        <v>8070.0848000000005</v>
      </c>
    </row>
    <row r="224" spans="2:7" ht="12.75">
      <c r="B224" s="441" t="s">
        <v>771</v>
      </c>
      <c r="C224" s="442" t="s">
        <v>316</v>
      </c>
      <c r="D224" s="443">
        <v>0.1625</v>
      </c>
      <c r="E224" s="444">
        <f t="shared" si="6"/>
        <v>7237.2375</v>
      </c>
      <c r="F224" s="443">
        <v>0.1625</v>
      </c>
      <c r="G224" s="444">
        <f t="shared" si="7"/>
        <v>7334.9</v>
      </c>
    </row>
    <row r="225" spans="2:7" ht="12.75">
      <c r="B225" s="441" t="s">
        <v>772</v>
      </c>
      <c r="C225" s="442" t="s">
        <v>317</v>
      </c>
      <c r="D225" s="443">
        <v>0.2635</v>
      </c>
      <c r="E225" s="444">
        <f t="shared" si="6"/>
        <v>7639.5205000000005</v>
      </c>
      <c r="F225" s="443">
        <v>0.2635</v>
      </c>
      <c r="G225" s="444">
        <f t="shared" si="7"/>
        <v>7741.3240000000005</v>
      </c>
    </row>
    <row r="226" spans="2:7" ht="12.75">
      <c r="B226" s="441" t="s">
        <v>773</v>
      </c>
      <c r="C226" s="442" t="s">
        <v>318</v>
      </c>
      <c r="D226" s="443">
        <v>0.1384</v>
      </c>
      <c r="E226" s="444">
        <f t="shared" si="6"/>
        <v>7141.2472</v>
      </c>
      <c r="F226" s="443">
        <v>0.1384</v>
      </c>
      <c r="G226" s="444">
        <f t="shared" si="7"/>
        <v>7237.9216</v>
      </c>
    </row>
    <row r="227" spans="2:7" ht="12.75">
      <c r="B227" s="441" t="s">
        <v>774</v>
      </c>
      <c r="C227" s="442" t="s">
        <v>319</v>
      </c>
      <c r="D227" s="443">
        <v>0.0513</v>
      </c>
      <c r="E227" s="444">
        <f t="shared" si="6"/>
        <v>6794.3279</v>
      </c>
      <c r="F227" s="443">
        <v>0.0513</v>
      </c>
      <c r="G227" s="444">
        <f t="shared" si="7"/>
        <v>6887.4312</v>
      </c>
    </row>
    <row r="228" spans="2:7" ht="12.75">
      <c r="B228" s="441" t="s">
        <v>775</v>
      </c>
      <c r="C228" s="442" t="s">
        <v>320</v>
      </c>
      <c r="D228" s="443">
        <v>0.1457</v>
      </c>
      <c r="E228" s="444">
        <f t="shared" si="6"/>
        <v>7170.3231</v>
      </c>
      <c r="F228" s="443">
        <v>0.1457</v>
      </c>
      <c r="G228" s="444">
        <f t="shared" si="7"/>
        <v>7267.2968</v>
      </c>
    </row>
    <row r="229" spans="2:7" ht="12.75">
      <c r="B229" s="441" t="s">
        <v>776</v>
      </c>
      <c r="C229" s="442" t="s">
        <v>321</v>
      </c>
      <c r="D229" s="443">
        <v>0.183</v>
      </c>
      <c r="E229" s="444">
        <f t="shared" si="6"/>
        <v>7318.889</v>
      </c>
      <c r="F229" s="443">
        <v>0.183</v>
      </c>
      <c r="G229" s="444">
        <f t="shared" si="7"/>
        <v>7417.392</v>
      </c>
    </row>
    <row r="230" spans="2:7" ht="12.75">
      <c r="B230" s="441" t="s">
        <v>777</v>
      </c>
      <c r="C230" s="442" t="s">
        <v>322</v>
      </c>
      <c r="D230" s="443">
        <v>0.1657</v>
      </c>
      <c r="E230" s="444">
        <f t="shared" si="6"/>
        <v>7249.9830999999995</v>
      </c>
      <c r="F230" s="443">
        <v>0.1657</v>
      </c>
      <c r="G230" s="444">
        <f t="shared" si="7"/>
        <v>7347.7768</v>
      </c>
    </row>
    <row r="231" spans="2:7" ht="12.75">
      <c r="B231" s="441" t="s">
        <v>778</v>
      </c>
      <c r="C231" s="442" t="s">
        <v>323</v>
      </c>
      <c r="D231" s="443">
        <v>0.1402</v>
      </c>
      <c r="E231" s="444">
        <f t="shared" si="6"/>
        <v>7148.4166000000005</v>
      </c>
      <c r="F231" s="443">
        <v>0.1402</v>
      </c>
      <c r="G231" s="444">
        <f t="shared" si="7"/>
        <v>7245.1648000000005</v>
      </c>
    </row>
    <row r="232" spans="2:7" ht="12.75">
      <c r="B232" s="441" t="s">
        <v>779</v>
      </c>
      <c r="C232" s="442" t="s">
        <v>324</v>
      </c>
      <c r="D232" s="443">
        <v>0.1246</v>
      </c>
      <c r="E232" s="444">
        <f t="shared" si="6"/>
        <v>7086.2818</v>
      </c>
      <c r="F232" s="443">
        <v>0.1246</v>
      </c>
      <c r="G232" s="444">
        <f t="shared" si="7"/>
        <v>7182.3904</v>
      </c>
    </row>
    <row r="233" spans="2:7" ht="12.75">
      <c r="B233" s="441" t="s">
        <v>780</v>
      </c>
      <c r="C233" s="442" t="s">
        <v>325</v>
      </c>
      <c r="D233" s="443">
        <v>0.1606</v>
      </c>
      <c r="E233" s="444">
        <f t="shared" si="6"/>
        <v>7229.6698</v>
      </c>
      <c r="F233" s="443">
        <v>0.1606</v>
      </c>
      <c r="G233" s="444">
        <f t="shared" si="7"/>
        <v>7327.2544</v>
      </c>
    </row>
    <row r="234" spans="2:7" ht="12.75">
      <c r="B234" s="441" t="s">
        <v>781</v>
      </c>
      <c r="C234" s="442" t="s">
        <v>326</v>
      </c>
      <c r="D234" s="443">
        <v>0.1146</v>
      </c>
      <c r="E234" s="444">
        <f t="shared" si="6"/>
        <v>7046.4518</v>
      </c>
      <c r="F234" s="443">
        <v>0.1146</v>
      </c>
      <c r="G234" s="444">
        <f t="shared" si="7"/>
        <v>7142.1504</v>
      </c>
    </row>
    <row r="235" spans="2:7" ht="12.75">
      <c r="B235" s="441" t="s">
        <v>782</v>
      </c>
      <c r="C235" s="442" t="s">
        <v>327</v>
      </c>
      <c r="D235" s="443">
        <v>0.108</v>
      </c>
      <c r="E235" s="444">
        <f t="shared" si="6"/>
        <v>7020.164</v>
      </c>
      <c r="F235" s="443">
        <v>0.108</v>
      </c>
      <c r="G235" s="444">
        <f t="shared" si="7"/>
        <v>7115.592</v>
      </c>
    </row>
    <row r="236" spans="2:7" ht="12.75">
      <c r="B236" s="441" t="s">
        <v>783</v>
      </c>
      <c r="C236" s="442" t="s">
        <v>328</v>
      </c>
      <c r="D236" s="443">
        <v>0.1528</v>
      </c>
      <c r="E236" s="444">
        <f t="shared" si="6"/>
        <v>7198.6024</v>
      </c>
      <c r="F236" s="443">
        <v>0.1528</v>
      </c>
      <c r="G236" s="444">
        <f t="shared" si="7"/>
        <v>7295.8672</v>
      </c>
    </row>
    <row r="237" spans="2:7" ht="12.75">
      <c r="B237" s="441" t="s">
        <v>784</v>
      </c>
      <c r="C237" s="442" t="s">
        <v>785</v>
      </c>
      <c r="D237" s="443">
        <v>0.0683</v>
      </c>
      <c r="E237" s="444">
        <f>(D237*$J$18)+$J$17</f>
        <v>6862.0389</v>
      </c>
      <c r="F237" s="443">
        <v>0.0683</v>
      </c>
      <c r="G237" s="444">
        <f>(F237*$K$18)+$K$17</f>
        <v>6955.8392</v>
      </c>
    </row>
    <row r="238" spans="2:7" ht="12.75">
      <c r="B238" s="441" t="s">
        <v>786</v>
      </c>
      <c r="C238" s="442" t="s">
        <v>329</v>
      </c>
      <c r="D238" s="443">
        <v>0.0497</v>
      </c>
      <c r="E238" s="444">
        <f t="shared" si="6"/>
        <v>6787.9551</v>
      </c>
      <c r="F238" s="443">
        <v>0.0497</v>
      </c>
      <c r="G238" s="444">
        <f t="shared" si="7"/>
        <v>6880.9928</v>
      </c>
    </row>
    <row r="239" spans="2:7" ht="12.75">
      <c r="B239" s="441" t="s">
        <v>787</v>
      </c>
      <c r="C239" s="442" t="s">
        <v>330</v>
      </c>
      <c r="D239" s="443">
        <v>0.1298</v>
      </c>
      <c r="E239" s="444">
        <f t="shared" si="6"/>
        <v>7106.9934</v>
      </c>
      <c r="F239" s="443">
        <v>0.1298</v>
      </c>
      <c r="G239" s="444">
        <f t="shared" si="7"/>
        <v>7203.3152</v>
      </c>
    </row>
    <row r="240" spans="2:7" ht="12.75">
      <c r="B240" s="441" t="s">
        <v>788</v>
      </c>
      <c r="C240" s="442" t="s">
        <v>331</v>
      </c>
      <c r="D240" s="443">
        <v>0.3444</v>
      </c>
      <c r="E240" s="444">
        <f t="shared" si="6"/>
        <v>7961.745199999999</v>
      </c>
      <c r="F240" s="443">
        <v>0.3444</v>
      </c>
      <c r="G240" s="444">
        <f t="shared" si="7"/>
        <v>8066.8656</v>
      </c>
    </row>
    <row r="241" spans="2:7" ht="12.75">
      <c r="B241" s="441" t="s">
        <v>789</v>
      </c>
      <c r="C241" s="456" t="s">
        <v>332</v>
      </c>
      <c r="D241" s="443">
        <v>0.0989</v>
      </c>
      <c r="E241" s="444">
        <f t="shared" si="6"/>
        <v>6983.9187</v>
      </c>
      <c r="F241" s="443">
        <v>0.0989</v>
      </c>
      <c r="G241" s="444">
        <f t="shared" si="7"/>
        <v>7078.9736</v>
      </c>
    </row>
    <row r="242" spans="2:7" ht="12.75">
      <c r="B242" s="441" t="s">
        <v>790</v>
      </c>
      <c r="C242" s="442" t="s">
        <v>333</v>
      </c>
      <c r="D242" s="443">
        <v>0.1849</v>
      </c>
      <c r="E242" s="444">
        <f t="shared" si="6"/>
        <v>7326.4567</v>
      </c>
      <c r="F242" s="443">
        <v>0.1849</v>
      </c>
      <c r="G242" s="444">
        <f t="shared" si="7"/>
        <v>7425.0376</v>
      </c>
    </row>
    <row r="243" spans="2:7" ht="12.75">
      <c r="B243" s="441" t="s">
        <v>791</v>
      </c>
      <c r="C243" s="442" t="s">
        <v>334</v>
      </c>
      <c r="D243" s="443">
        <v>0.075</v>
      </c>
      <c r="E243" s="444">
        <f t="shared" si="6"/>
        <v>6888.725</v>
      </c>
      <c r="F243" s="443">
        <v>0.075</v>
      </c>
      <c r="G243" s="444">
        <f t="shared" si="7"/>
        <v>6982.8</v>
      </c>
    </row>
    <row r="244" spans="2:7" ht="12.75">
      <c r="B244" s="441" t="s">
        <v>792</v>
      </c>
      <c r="C244" s="442" t="s">
        <v>335</v>
      </c>
      <c r="D244" s="443">
        <v>0.134</v>
      </c>
      <c r="E244" s="444">
        <f t="shared" si="6"/>
        <v>7123.722</v>
      </c>
      <c r="F244" s="443">
        <v>0.134</v>
      </c>
      <c r="G244" s="444">
        <f t="shared" si="7"/>
        <v>7220.216</v>
      </c>
    </row>
    <row r="245" spans="2:7" ht="12.75">
      <c r="B245" s="441" t="s">
        <v>793</v>
      </c>
      <c r="C245" s="442" t="s">
        <v>336</v>
      </c>
      <c r="D245" s="443">
        <v>0.1396</v>
      </c>
      <c r="E245" s="444">
        <f t="shared" si="6"/>
        <v>7146.0268</v>
      </c>
      <c r="F245" s="443">
        <v>0.1396</v>
      </c>
      <c r="G245" s="444">
        <f t="shared" si="7"/>
        <v>7242.7504</v>
      </c>
    </row>
    <row r="246" spans="2:7" ht="12.75">
      <c r="B246" s="441" t="s">
        <v>794</v>
      </c>
      <c r="C246" s="442" t="s">
        <v>337</v>
      </c>
      <c r="D246" s="443">
        <v>0.085</v>
      </c>
      <c r="E246" s="444">
        <f t="shared" si="6"/>
        <v>6928.555</v>
      </c>
      <c r="F246" s="443">
        <v>0.085</v>
      </c>
      <c r="G246" s="444">
        <f t="shared" si="7"/>
        <v>7023.04</v>
      </c>
    </row>
    <row r="247" spans="2:7" ht="12.75">
      <c r="B247" s="441" t="s">
        <v>795</v>
      </c>
      <c r="C247" s="442" t="s">
        <v>338</v>
      </c>
      <c r="D247" s="443">
        <v>0.0938</v>
      </c>
      <c r="E247" s="444">
        <f t="shared" si="6"/>
        <v>6963.6054</v>
      </c>
      <c r="F247" s="443">
        <v>0.0938</v>
      </c>
      <c r="G247" s="444">
        <f t="shared" si="7"/>
        <v>7058.4511999999995</v>
      </c>
    </row>
    <row r="248" spans="2:7" ht="12.75">
      <c r="B248" s="441" t="s">
        <v>796</v>
      </c>
      <c r="C248" s="442" t="s">
        <v>339</v>
      </c>
      <c r="D248" s="443">
        <v>0.1099</v>
      </c>
      <c r="E248" s="444">
        <f t="shared" si="6"/>
        <v>7027.7317</v>
      </c>
      <c r="F248" s="443">
        <v>0.1099</v>
      </c>
      <c r="G248" s="444">
        <f t="shared" si="7"/>
        <v>7123.2376</v>
      </c>
    </row>
    <row r="249" spans="2:7" ht="12.75">
      <c r="B249" s="441" t="s">
        <v>797</v>
      </c>
      <c r="C249" s="442" t="s">
        <v>340</v>
      </c>
      <c r="D249" s="443">
        <v>0.2359</v>
      </c>
      <c r="E249" s="444">
        <f t="shared" si="6"/>
        <v>7529.5897</v>
      </c>
      <c r="F249" s="443">
        <v>0.2359</v>
      </c>
      <c r="G249" s="444">
        <f t="shared" si="7"/>
        <v>7630.2616</v>
      </c>
    </row>
    <row r="250" spans="2:7" ht="12.75">
      <c r="B250" s="441" t="s">
        <v>798</v>
      </c>
      <c r="C250" s="442" t="s">
        <v>341</v>
      </c>
      <c r="D250" s="443">
        <v>0.1034</v>
      </c>
      <c r="E250" s="444">
        <f t="shared" si="6"/>
        <v>7001.8422</v>
      </c>
      <c r="F250" s="443">
        <v>0.1034</v>
      </c>
      <c r="G250" s="444">
        <f t="shared" si="7"/>
        <v>7097.0816</v>
      </c>
    </row>
    <row r="251" spans="2:7" ht="12.75">
      <c r="B251" s="441" t="s">
        <v>799</v>
      </c>
      <c r="C251" s="442" t="s">
        <v>342</v>
      </c>
      <c r="D251" s="443">
        <v>0.1961</v>
      </c>
      <c r="E251" s="444">
        <f t="shared" si="6"/>
        <v>7371.0663</v>
      </c>
      <c r="F251" s="443">
        <v>0.1961</v>
      </c>
      <c r="G251" s="444">
        <f t="shared" si="7"/>
        <v>7470.1064</v>
      </c>
    </row>
    <row r="252" spans="2:7" ht="12.75">
      <c r="B252" s="441" t="s">
        <v>800</v>
      </c>
      <c r="C252" s="442" t="s">
        <v>343</v>
      </c>
      <c r="D252" s="443">
        <v>0.1671</v>
      </c>
      <c r="E252" s="444">
        <f t="shared" si="6"/>
        <v>7255.5593</v>
      </c>
      <c r="F252" s="443">
        <v>0.1671</v>
      </c>
      <c r="G252" s="444">
        <f t="shared" si="7"/>
        <v>7353.4104</v>
      </c>
    </row>
    <row r="253" spans="2:7" ht="12.75">
      <c r="B253" s="441" t="s">
        <v>801</v>
      </c>
      <c r="C253" s="442" t="s">
        <v>344</v>
      </c>
      <c r="D253" s="443">
        <v>0.2202</v>
      </c>
      <c r="E253" s="444">
        <f t="shared" si="6"/>
        <v>7467.0566</v>
      </c>
      <c r="F253" s="443">
        <v>0.2202</v>
      </c>
      <c r="G253" s="444">
        <f t="shared" si="7"/>
        <v>7567.0848</v>
      </c>
    </row>
    <row r="254" spans="2:7" ht="12.75">
      <c r="B254" s="441" t="s">
        <v>802</v>
      </c>
      <c r="C254" s="442" t="s">
        <v>345</v>
      </c>
      <c r="D254" s="443">
        <v>0.0474</v>
      </c>
      <c r="E254" s="444">
        <f t="shared" si="6"/>
        <v>6778.7942</v>
      </c>
      <c r="F254" s="443">
        <v>0.0474</v>
      </c>
      <c r="G254" s="444">
        <f t="shared" si="7"/>
        <v>6871.7376</v>
      </c>
    </row>
    <row r="255" spans="2:7" ht="12.75">
      <c r="B255" s="441" t="s">
        <v>803</v>
      </c>
      <c r="C255" s="442" t="s">
        <v>346</v>
      </c>
      <c r="D255" s="443">
        <v>0.1415</v>
      </c>
      <c r="E255" s="444">
        <f t="shared" si="6"/>
        <v>7153.5945</v>
      </c>
      <c r="F255" s="443">
        <v>0.1415</v>
      </c>
      <c r="G255" s="444">
        <f t="shared" si="7"/>
        <v>7250.396</v>
      </c>
    </row>
    <row r="256" spans="2:7" ht="12.75">
      <c r="B256" s="441" t="s">
        <v>804</v>
      </c>
      <c r="C256" s="442" t="s">
        <v>347</v>
      </c>
      <c r="D256" s="443">
        <v>0.0596</v>
      </c>
      <c r="E256" s="444">
        <f t="shared" si="6"/>
        <v>6827.3868</v>
      </c>
      <c r="F256" s="443">
        <v>0.0596</v>
      </c>
      <c r="G256" s="444">
        <f t="shared" si="7"/>
        <v>6920.8304</v>
      </c>
    </row>
    <row r="257" spans="2:7" ht="12.75">
      <c r="B257" s="441" t="s">
        <v>805</v>
      </c>
      <c r="C257" s="442" t="s">
        <v>348</v>
      </c>
      <c r="D257" s="443">
        <v>0.0923</v>
      </c>
      <c r="E257" s="444">
        <f t="shared" si="6"/>
        <v>6957.6309</v>
      </c>
      <c r="F257" s="443">
        <v>0.0923</v>
      </c>
      <c r="G257" s="444">
        <f t="shared" si="7"/>
        <v>7052.4152</v>
      </c>
    </row>
    <row r="258" spans="2:7" ht="12.75">
      <c r="B258" s="441" t="s">
        <v>806</v>
      </c>
      <c r="C258" s="442" t="s">
        <v>349</v>
      </c>
      <c r="D258" s="443">
        <v>0.0124</v>
      </c>
      <c r="E258" s="444">
        <f t="shared" si="6"/>
        <v>6639.3892</v>
      </c>
      <c r="F258" s="443">
        <v>0.0124</v>
      </c>
      <c r="G258" s="444">
        <f t="shared" si="7"/>
        <v>6730.8976</v>
      </c>
    </row>
    <row r="259" spans="2:7" ht="12.75">
      <c r="B259" s="441" t="s">
        <v>807</v>
      </c>
      <c r="C259" s="442" t="s">
        <v>350</v>
      </c>
      <c r="D259" s="443">
        <v>0.1885</v>
      </c>
      <c r="E259" s="444">
        <f t="shared" si="6"/>
        <v>7340.7955</v>
      </c>
      <c r="F259" s="443">
        <v>0.1885</v>
      </c>
      <c r="G259" s="444">
        <f t="shared" si="7"/>
        <v>7439.524</v>
      </c>
    </row>
    <row r="260" spans="2:7" ht="12.75">
      <c r="B260" s="441" t="s">
        <v>808</v>
      </c>
      <c r="C260" s="442" t="s">
        <v>351</v>
      </c>
      <c r="D260" s="443">
        <v>0.1462</v>
      </c>
      <c r="E260" s="444">
        <f t="shared" si="6"/>
        <v>7172.3146</v>
      </c>
      <c r="F260" s="443">
        <v>0.1462</v>
      </c>
      <c r="G260" s="444">
        <f t="shared" si="7"/>
        <v>7269.3088</v>
      </c>
    </row>
    <row r="261" spans="2:7" ht="12.75">
      <c r="B261" s="441" t="s">
        <v>809</v>
      </c>
      <c r="C261" s="456" t="s">
        <v>352</v>
      </c>
      <c r="D261" s="443">
        <v>0.1358</v>
      </c>
      <c r="E261" s="444">
        <f t="shared" si="6"/>
        <v>7130.8914</v>
      </c>
      <c r="F261" s="443">
        <v>0.1358</v>
      </c>
      <c r="G261" s="444">
        <f t="shared" si="7"/>
        <v>7227.4592</v>
      </c>
    </row>
    <row r="262" spans="2:7" ht="12.75">
      <c r="B262" s="441" t="s">
        <v>810</v>
      </c>
      <c r="C262" s="442" t="s">
        <v>353</v>
      </c>
      <c r="D262" s="443">
        <v>0.1701</v>
      </c>
      <c r="E262" s="444">
        <f t="shared" si="6"/>
        <v>7267.5082999999995</v>
      </c>
      <c r="F262" s="443">
        <v>0.1701</v>
      </c>
      <c r="G262" s="444">
        <f t="shared" si="7"/>
        <v>7365.4824</v>
      </c>
    </row>
    <row r="263" spans="2:7" ht="12.75">
      <c r="B263" s="441" t="s">
        <v>811</v>
      </c>
      <c r="C263" s="442" t="s">
        <v>354</v>
      </c>
      <c r="D263" s="443">
        <v>0.1923</v>
      </c>
      <c r="E263" s="444">
        <f t="shared" si="6"/>
        <v>7355.9309</v>
      </c>
      <c r="F263" s="443">
        <v>0.1923</v>
      </c>
      <c r="G263" s="444">
        <f t="shared" si="7"/>
        <v>7454.8152</v>
      </c>
    </row>
    <row r="264" spans="2:7" ht="12.75">
      <c r="B264" s="441" t="s">
        <v>812</v>
      </c>
      <c r="C264" s="456" t="s">
        <v>355</v>
      </c>
      <c r="D264" s="443">
        <v>0.1273</v>
      </c>
      <c r="E264" s="444">
        <f t="shared" si="6"/>
        <v>7097.0359</v>
      </c>
      <c r="F264" s="443">
        <v>0.1273</v>
      </c>
      <c r="G264" s="444">
        <f t="shared" si="7"/>
        <v>7193.2552</v>
      </c>
    </row>
    <row r="265" spans="2:7" ht="12.75">
      <c r="B265" s="441" t="s">
        <v>813</v>
      </c>
      <c r="C265" s="442" t="s">
        <v>356</v>
      </c>
      <c r="D265" s="443">
        <v>0.0512</v>
      </c>
      <c r="E265" s="444">
        <f t="shared" si="6"/>
        <v>6793.9296</v>
      </c>
      <c r="F265" s="443">
        <v>0.0512</v>
      </c>
      <c r="G265" s="444">
        <f t="shared" si="7"/>
        <v>6887.0288</v>
      </c>
    </row>
    <row r="266" spans="2:7" ht="12.75">
      <c r="B266" s="441" t="s">
        <v>814</v>
      </c>
      <c r="C266" s="442" t="s">
        <v>357</v>
      </c>
      <c r="D266" s="443">
        <v>0.1899</v>
      </c>
      <c r="E266" s="444">
        <f t="shared" si="6"/>
        <v>7346.3717</v>
      </c>
      <c r="F266" s="443">
        <v>0.1899</v>
      </c>
      <c r="G266" s="444">
        <f t="shared" si="7"/>
        <v>7445.1576000000005</v>
      </c>
    </row>
    <row r="267" spans="2:7" ht="12.75">
      <c r="B267" s="441" t="s">
        <v>815</v>
      </c>
      <c r="C267" s="442" t="s">
        <v>358</v>
      </c>
      <c r="D267" s="443">
        <v>0.3238</v>
      </c>
      <c r="E267" s="444">
        <f t="shared" si="6"/>
        <v>7879.6954</v>
      </c>
      <c r="F267" s="443">
        <v>0.3238</v>
      </c>
      <c r="G267" s="444">
        <f t="shared" si="7"/>
        <v>7983.9712</v>
      </c>
    </row>
    <row r="268" spans="2:7" ht="12.75">
      <c r="B268" s="441" t="s">
        <v>816</v>
      </c>
      <c r="C268" s="442" t="s">
        <v>359</v>
      </c>
      <c r="D268" s="443">
        <v>0.1664</v>
      </c>
      <c r="E268" s="444">
        <f t="shared" si="6"/>
        <v>7252.7712</v>
      </c>
      <c r="F268" s="443">
        <v>0.1664</v>
      </c>
      <c r="G268" s="444">
        <f t="shared" si="7"/>
        <v>7350.5936</v>
      </c>
    </row>
    <row r="269" spans="2:7" ht="12.75">
      <c r="B269" s="441" t="s">
        <v>817</v>
      </c>
      <c r="C269" s="442" t="s">
        <v>360</v>
      </c>
      <c r="D269" s="443">
        <v>0.1172</v>
      </c>
      <c r="E269" s="444">
        <f t="shared" si="6"/>
        <v>7056.8076</v>
      </c>
      <c r="F269" s="443">
        <v>0.1172</v>
      </c>
      <c r="G269" s="444">
        <f t="shared" si="7"/>
        <v>7152.6128</v>
      </c>
    </row>
    <row r="270" spans="2:7" ht="12.75">
      <c r="B270" s="441" t="s">
        <v>818</v>
      </c>
      <c r="C270" s="442" t="s">
        <v>361</v>
      </c>
      <c r="D270" s="443">
        <v>0.1197</v>
      </c>
      <c r="E270" s="444">
        <f t="shared" si="6"/>
        <v>7066.7651</v>
      </c>
      <c r="F270" s="443">
        <v>0.1197</v>
      </c>
      <c r="G270" s="444">
        <f t="shared" si="7"/>
        <v>7162.6728</v>
      </c>
    </row>
    <row r="271" spans="2:7" ht="12.75">
      <c r="B271" s="441" t="s">
        <v>819</v>
      </c>
      <c r="C271" s="442" t="s">
        <v>362</v>
      </c>
      <c r="D271" s="443">
        <v>0.1184</v>
      </c>
      <c r="E271" s="444">
        <f t="shared" si="6"/>
        <v>7061.5872</v>
      </c>
      <c r="F271" s="443">
        <v>0.1184</v>
      </c>
      <c r="G271" s="444">
        <f t="shared" si="7"/>
        <v>7157.4416</v>
      </c>
    </row>
    <row r="272" spans="2:7" ht="12.75">
      <c r="B272" s="441" t="s">
        <v>820</v>
      </c>
      <c r="C272" s="442" t="s">
        <v>363</v>
      </c>
      <c r="D272" s="443">
        <v>0.13</v>
      </c>
      <c r="E272" s="444">
        <f t="shared" si="6"/>
        <v>7107.79</v>
      </c>
      <c r="F272" s="443">
        <v>0.13</v>
      </c>
      <c r="G272" s="444">
        <f t="shared" si="7"/>
        <v>7204.12</v>
      </c>
    </row>
    <row r="273" spans="2:7" ht="12.75">
      <c r="B273" s="441" t="s">
        <v>821</v>
      </c>
      <c r="C273" s="442" t="s">
        <v>364</v>
      </c>
      <c r="D273" s="443">
        <v>0.1019</v>
      </c>
      <c r="E273" s="444">
        <f t="shared" si="6"/>
        <v>6995.8677</v>
      </c>
      <c r="F273" s="443">
        <v>0.1019</v>
      </c>
      <c r="G273" s="444">
        <f t="shared" si="7"/>
        <v>7091.0456</v>
      </c>
    </row>
    <row r="274" spans="2:7" ht="12.75">
      <c r="B274" s="441" t="s">
        <v>822</v>
      </c>
      <c r="C274" s="457" t="s">
        <v>365</v>
      </c>
      <c r="D274" s="443">
        <v>0.0808</v>
      </c>
      <c r="E274" s="444">
        <f aca="true" t="shared" si="8" ref="E274:E306">(D274*$J$18)+$J$17</f>
        <v>6911.8264</v>
      </c>
      <c r="F274" s="443">
        <v>0.0808</v>
      </c>
      <c r="G274" s="444">
        <f t="shared" si="7"/>
        <v>7006.1392</v>
      </c>
    </row>
    <row r="275" spans="2:7" ht="12.75">
      <c r="B275" s="441" t="s">
        <v>823</v>
      </c>
      <c r="C275" s="456" t="s">
        <v>366</v>
      </c>
      <c r="D275" s="443">
        <v>0.0971</v>
      </c>
      <c r="E275" s="444">
        <f t="shared" si="8"/>
        <v>6976.7493</v>
      </c>
      <c r="F275" s="443">
        <v>0.0971</v>
      </c>
      <c r="G275" s="444">
        <f t="shared" si="7"/>
        <v>7071.7304</v>
      </c>
    </row>
    <row r="276" spans="2:7" ht="12.75">
      <c r="B276" s="441" t="s">
        <v>824</v>
      </c>
      <c r="C276" s="456" t="s">
        <v>367</v>
      </c>
      <c r="D276" s="443">
        <v>0.1396</v>
      </c>
      <c r="E276" s="444">
        <f t="shared" si="8"/>
        <v>7146.0268</v>
      </c>
      <c r="F276" s="443">
        <v>0.1396</v>
      </c>
      <c r="G276" s="444">
        <f aca="true" t="shared" si="9" ref="G276:G306">(F276*$K$18)+$K$17</f>
        <v>7242.7504</v>
      </c>
    </row>
    <row r="277" spans="2:7" ht="12.75">
      <c r="B277" s="441" t="s">
        <v>825</v>
      </c>
      <c r="C277" s="442" t="s">
        <v>368</v>
      </c>
      <c r="D277" s="443">
        <v>0.1331</v>
      </c>
      <c r="E277" s="444">
        <f t="shared" si="8"/>
        <v>7120.1373</v>
      </c>
      <c r="F277" s="443">
        <v>0.1331</v>
      </c>
      <c r="G277" s="444">
        <f t="shared" si="9"/>
        <v>7216.5944</v>
      </c>
    </row>
    <row r="278" spans="2:7" ht="12.75">
      <c r="B278" s="441" t="s">
        <v>826</v>
      </c>
      <c r="C278" s="442" t="s">
        <v>369</v>
      </c>
      <c r="D278" s="443">
        <v>0.1399</v>
      </c>
      <c r="E278" s="444">
        <f t="shared" si="8"/>
        <v>7147.2217</v>
      </c>
      <c r="F278" s="443">
        <v>0.1399</v>
      </c>
      <c r="G278" s="444">
        <f t="shared" si="9"/>
        <v>7243.9576</v>
      </c>
    </row>
    <row r="279" spans="2:7" ht="12.75">
      <c r="B279" s="441" t="s">
        <v>827</v>
      </c>
      <c r="C279" s="442" t="s">
        <v>370</v>
      </c>
      <c r="D279" s="443">
        <v>0.3241</v>
      </c>
      <c r="E279" s="444">
        <f t="shared" si="8"/>
        <v>7880.8903</v>
      </c>
      <c r="F279" s="443">
        <v>0.3241</v>
      </c>
      <c r="G279" s="444">
        <f t="shared" si="9"/>
        <v>7985.1784</v>
      </c>
    </row>
    <row r="280" spans="2:7" ht="12.75">
      <c r="B280" s="441" t="s">
        <v>828</v>
      </c>
      <c r="C280" s="442" t="s">
        <v>371</v>
      </c>
      <c r="D280" s="443">
        <v>0.061</v>
      </c>
      <c r="E280" s="444">
        <f t="shared" si="8"/>
        <v>6832.963</v>
      </c>
      <c r="F280" s="443">
        <v>0.061</v>
      </c>
      <c r="G280" s="444">
        <f t="shared" si="9"/>
        <v>6926.464</v>
      </c>
    </row>
    <row r="281" spans="2:7" ht="12.75">
      <c r="B281" s="441" t="s">
        <v>829</v>
      </c>
      <c r="C281" s="442" t="s">
        <v>372</v>
      </c>
      <c r="D281" s="443">
        <v>0.1187</v>
      </c>
      <c r="E281" s="444">
        <f t="shared" si="8"/>
        <v>7062.7821</v>
      </c>
      <c r="F281" s="443">
        <v>0.1187</v>
      </c>
      <c r="G281" s="444">
        <f t="shared" si="9"/>
        <v>7158.6488</v>
      </c>
    </row>
    <row r="282" spans="2:7" ht="12.75">
      <c r="B282" s="441" t="s">
        <v>830</v>
      </c>
      <c r="C282" s="442" t="s">
        <v>373</v>
      </c>
      <c r="D282" s="443">
        <v>0.092</v>
      </c>
      <c r="E282" s="444">
        <f t="shared" si="8"/>
        <v>6956.436</v>
      </c>
      <c r="F282" s="443">
        <v>0.092</v>
      </c>
      <c r="G282" s="444">
        <f t="shared" si="9"/>
        <v>7051.208</v>
      </c>
    </row>
    <row r="283" spans="2:7" ht="12.75">
      <c r="B283" s="441" t="s">
        <v>831</v>
      </c>
      <c r="C283" s="442" t="s">
        <v>374</v>
      </c>
      <c r="D283" s="443">
        <v>0.2662</v>
      </c>
      <c r="E283" s="444">
        <f t="shared" si="8"/>
        <v>7650.2746</v>
      </c>
      <c r="F283" s="443">
        <v>0.2662</v>
      </c>
      <c r="G283" s="444">
        <f t="shared" si="9"/>
        <v>7752.1888</v>
      </c>
    </row>
    <row r="284" spans="2:7" ht="12.75">
      <c r="B284" s="441" t="s">
        <v>832</v>
      </c>
      <c r="C284" s="442" t="s">
        <v>375</v>
      </c>
      <c r="D284" s="443">
        <v>0.2607</v>
      </c>
      <c r="E284" s="444">
        <f t="shared" si="8"/>
        <v>7628.3681</v>
      </c>
      <c r="F284" s="443">
        <v>0.2607</v>
      </c>
      <c r="G284" s="444">
        <f t="shared" si="9"/>
        <v>7730.0568</v>
      </c>
    </row>
    <row r="285" spans="2:7" ht="12.75">
      <c r="B285" s="441" t="s">
        <v>833</v>
      </c>
      <c r="C285" s="442" t="s">
        <v>376</v>
      </c>
      <c r="D285" s="443">
        <v>0.1957</v>
      </c>
      <c r="E285" s="444">
        <f t="shared" si="8"/>
        <v>7369.4731</v>
      </c>
      <c r="F285" s="443">
        <v>0.1957</v>
      </c>
      <c r="G285" s="444">
        <f t="shared" si="9"/>
        <v>7468.4968</v>
      </c>
    </row>
    <row r="286" spans="2:7" ht="12.75">
      <c r="B286" s="441" t="s">
        <v>834</v>
      </c>
      <c r="C286" s="442" t="s">
        <v>377</v>
      </c>
      <c r="D286" s="443">
        <v>0.0692</v>
      </c>
      <c r="E286" s="444">
        <f t="shared" si="8"/>
        <v>6865.6236</v>
      </c>
      <c r="F286" s="443">
        <v>0.0692</v>
      </c>
      <c r="G286" s="444">
        <f t="shared" si="9"/>
        <v>6959.4608</v>
      </c>
    </row>
    <row r="287" spans="2:7" ht="12.75">
      <c r="B287" s="441" t="s">
        <v>835</v>
      </c>
      <c r="C287" s="442" t="s">
        <v>378</v>
      </c>
      <c r="D287" s="443">
        <v>0.0747</v>
      </c>
      <c r="E287" s="444">
        <f t="shared" si="8"/>
        <v>6887.5301</v>
      </c>
      <c r="F287" s="443">
        <v>0.0747</v>
      </c>
      <c r="G287" s="444">
        <f t="shared" si="9"/>
        <v>6981.5928</v>
      </c>
    </row>
    <row r="288" spans="2:7" ht="12.75">
      <c r="B288" s="441" t="s">
        <v>836</v>
      </c>
      <c r="C288" s="442" t="s">
        <v>379</v>
      </c>
      <c r="D288" s="443">
        <v>0.1135</v>
      </c>
      <c r="E288" s="444">
        <f t="shared" si="8"/>
        <v>7042.0705</v>
      </c>
      <c r="F288" s="443">
        <v>0.1135</v>
      </c>
      <c r="G288" s="444">
        <f t="shared" si="9"/>
        <v>7137.724</v>
      </c>
    </row>
    <row r="289" spans="2:7" ht="12.75">
      <c r="B289" s="441" t="s">
        <v>837</v>
      </c>
      <c r="C289" s="442" t="s">
        <v>380</v>
      </c>
      <c r="D289" s="443">
        <v>0.1993</v>
      </c>
      <c r="E289" s="444">
        <f t="shared" si="8"/>
        <v>7383.8119</v>
      </c>
      <c r="F289" s="443">
        <v>0.1993</v>
      </c>
      <c r="G289" s="444">
        <f t="shared" si="9"/>
        <v>7482.9832</v>
      </c>
    </row>
    <row r="290" spans="2:7" ht="12.75">
      <c r="B290" s="441" t="s">
        <v>838</v>
      </c>
      <c r="C290" s="442" t="s">
        <v>381</v>
      </c>
      <c r="D290" s="443">
        <v>0.1165</v>
      </c>
      <c r="E290" s="444">
        <f t="shared" si="8"/>
        <v>7054.0195</v>
      </c>
      <c r="F290" s="443">
        <v>0.1165</v>
      </c>
      <c r="G290" s="444">
        <f t="shared" si="9"/>
        <v>7149.796</v>
      </c>
    </row>
    <row r="291" spans="2:7" ht="12.75">
      <c r="B291" s="441" t="s">
        <v>839</v>
      </c>
      <c r="C291" s="442" t="s">
        <v>382</v>
      </c>
      <c r="D291" s="443">
        <v>0.1937</v>
      </c>
      <c r="E291" s="444">
        <f t="shared" si="8"/>
        <v>7361.5071</v>
      </c>
      <c r="F291" s="443">
        <v>0.1937</v>
      </c>
      <c r="G291" s="444">
        <f t="shared" si="9"/>
        <v>7460.4488</v>
      </c>
    </row>
    <row r="292" spans="2:7" ht="12.75">
      <c r="B292" s="441" t="s">
        <v>840</v>
      </c>
      <c r="C292" s="456" t="s">
        <v>383</v>
      </c>
      <c r="D292" s="443">
        <v>0.1714</v>
      </c>
      <c r="E292" s="444">
        <f t="shared" si="8"/>
        <v>7272.6862</v>
      </c>
      <c r="F292" s="443">
        <v>0.1714</v>
      </c>
      <c r="G292" s="444">
        <f t="shared" si="9"/>
        <v>7370.7136</v>
      </c>
    </row>
    <row r="293" spans="2:7" ht="12.75">
      <c r="B293" s="441" t="s">
        <v>841</v>
      </c>
      <c r="C293" s="442" t="s">
        <v>384</v>
      </c>
      <c r="D293" s="443">
        <v>0.0792</v>
      </c>
      <c r="E293" s="444">
        <f t="shared" si="8"/>
        <v>6905.4536</v>
      </c>
      <c r="F293" s="443">
        <v>0.0792</v>
      </c>
      <c r="G293" s="444">
        <f t="shared" si="9"/>
        <v>6999.7008</v>
      </c>
    </row>
    <row r="294" spans="2:7" ht="12.75">
      <c r="B294" s="441" t="s">
        <v>617</v>
      </c>
      <c r="C294" s="442" t="s">
        <v>385</v>
      </c>
      <c r="D294" s="443">
        <v>0.0705</v>
      </c>
      <c r="E294" s="444">
        <f t="shared" si="8"/>
        <v>6870.8015</v>
      </c>
      <c r="F294" s="443">
        <v>0.0705</v>
      </c>
      <c r="G294" s="444">
        <f t="shared" si="9"/>
        <v>6964.692</v>
      </c>
    </row>
    <row r="295" spans="2:7" ht="12.75">
      <c r="B295" s="441" t="s">
        <v>842</v>
      </c>
      <c r="C295" s="442" t="s">
        <v>386</v>
      </c>
      <c r="D295" s="443">
        <v>0.1619</v>
      </c>
      <c r="E295" s="444">
        <f t="shared" si="8"/>
        <v>7234.8477</v>
      </c>
      <c r="F295" s="443">
        <v>0.1619</v>
      </c>
      <c r="G295" s="444">
        <f t="shared" si="9"/>
        <v>7332.4856</v>
      </c>
    </row>
    <row r="296" spans="2:7" ht="12.75">
      <c r="B296" s="441" t="s">
        <v>843</v>
      </c>
      <c r="C296" s="442" t="s">
        <v>387</v>
      </c>
      <c r="D296" s="443">
        <v>0.0756</v>
      </c>
      <c r="E296" s="444">
        <f t="shared" si="8"/>
        <v>6891.1148</v>
      </c>
      <c r="F296" s="443">
        <v>0.0756</v>
      </c>
      <c r="G296" s="444">
        <f t="shared" si="9"/>
        <v>6985.2144</v>
      </c>
    </row>
    <row r="297" spans="2:7" ht="12.75">
      <c r="B297" s="441" t="s">
        <v>844</v>
      </c>
      <c r="C297" s="442" t="s">
        <v>388</v>
      </c>
      <c r="D297" s="443">
        <v>0.1239</v>
      </c>
      <c r="E297" s="444">
        <f t="shared" si="8"/>
        <v>7083.4937</v>
      </c>
      <c r="F297" s="443">
        <v>0.1239</v>
      </c>
      <c r="G297" s="444">
        <f t="shared" si="9"/>
        <v>7179.5736</v>
      </c>
    </row>
    <row r="298" spans="2:7" ht="12.75">
      <c r="B298" s="441" t="s">
        <v>845</v>
      </c>
      <c r="C298" s="442" t="s">
        <v>389</v>
      </c>
      <c r="D298" s="443">
        <v>0.1808</v>
      </c>
      <c r="E298" s="444">
        <f t="shared" si="8"/>
        <v>7310.1264</v>
      </c>
      <c r="F298" s="443">
        <v>0.1808</v>
      </c>
      <c r="G298" s="444">
        <f t="shared" si="9"/>
        <v>7408.5392</v>
      </c>
    </row>
    <row r="299" spans="2:7" ht="12.75">
      <c r="B299" s="441" t="s">
        <v>846</v>
      </c>
      <c r="C299" s="442" t="s">
        <v>390</v>
      </c>
      <c r="D299" s="443">
        <v>0.0448</v>
      </c>
      <c r="E299" s="444">
        <f t="shared" si="8"/>
        <v>6768.4384</v>
      </c>
      <c r="F299" s="443">
        <v>0.0448</v>
      </c>
      <c r="G299" s="444">
        <f t="shared" si="9"/>
        <v>6861.2752</v>
      </c>
    </row>
    <row r="300" spans="2:7" ht="12.75">
      <c r="B300" s="441" t="s">
        <v>847</v>
      </c>
      <c r="C300" s="457" t="s">
        <v>391</v>
      </c>
      <c r="D300" s="443">
        <v>0.0563</v>
      </c>
      <c r="E300" s="444">
        <f t="shared" si="8"/>
        <v>6814.2429</v>
      </c>
      <c r="F300" s="443">
        <v>0.0563</v>
      </c>
      <c r="G300" s="444">
        <f t="shared" si="9"/>
        <v>6907.5512</v>
      </c>
    </row>
    <row r="301" spans="2:7" ht="12.75">
      <c r="B301" s="441" t="s">
        <v>848</v>
      </c>
      <c r="C301" s="442" t="s">
        <v>392</v>
      </c>
      <c r="D301" s="443">
        <v>0.2164</v>
      </c>
      <c r="E301" s="444">
        <f t="shared" si="8"/>
        <v>7451.9212</v>
      </c>
      <c r="F301" s="443">
        <v>0.2164</v>
      </c>
      <c r="G301" s="444">
        <f t="shared" si="9"/>
        <v>7551.7936</v>
      </c>
    </row>
    <row r="302" spans="2:7" ht="12.75">
      <c r="B302" s="441" t="s">
        <v>849</v>
      </c>
      <c r="C302" s="442" t="s">
        <v>393</v>
      </c>
      <c r="D302" s="443">
        <v>0.2189</v>
      </c>
      <c r="E302" s="444">
        <f t="shared" si="8"/>
        <v>7461.8787</v>
      </c>
      <c r="F302" s="443">
        <v>0.2189</v>
      </c>
      <c r="G302" s="444">
        <f t="shared" si="9"/>
        <v>7561.8536</v>
      </c>
    </row>
    <row r="303" spans="2:7" ht="12.75">
      <c r="B303" s="441" t="s">
        <v>850</v>
      </c>
      <c r="C303" s="457" t="s">
        <v>394</v>
      </c>
      <c r="D303" s="443">
        <v>0.1204</v>
      </c>
      <c r="E303" s="444">
        <f t="shared" si="8"/>
        <v>7069.5532</v>
      </c>
      <c r="F303" s="443">
        <v>0.1204</v>
      </c>
      <c r="G303" s="444">
        <f t="shared" si="9"/>
        <v>7165.4896</v>
      </c>
    </row>
    <row r="304" spans="2:7" ht="12.75">
      <c r="B304" s="441" t="s">
        <v>851</v>
      </c>
      <c r="C304" s="442" t="s">
        <v>395</v>
      </c>
      <c r="D304" s="443">
        <v>0.0749</v>
      </c>
      <c r="E304" s="444">
        <f t="shared" si="8"/>
        <v>6888.3267</v>
      </c>
      <c r="F304" s="443">
        <v>0.0749</v>
      </c>
      <c r="G304" s="444">
        <f t="shared" si="9"/>
        <v>6982.3976</v>
      </c>
    </row>
    <row r="305" spans="2:7" ht="12.75">
      <c r="B305" s="441" t="s">
        <v>852</v>
      </c>
      <c r="C305" s="442" t="s">
        <v>399</v>
      </c>
      <c r="D305" s="443">
        <v>0.1211</v>
      </c>
      <c r="E305" s="444">
        <f t="shared" si="8"/>
        <v>7072.3413</v>
      </c>
      <c r="F305" s="443">
        <v>0.1211</v>
      </c>
      <c r="G305" s="444">
        <f t="shared" si="9"/>
        <v>7168.3064</v>
      </c>
    </row>
    <row r="306" spans="2:7" ht="12.75">
      <c r="B306" s="441" t="s">
        <v>853</v>
      </c>
      <c r="C306" s="442" t="s">
        <v>396</v>
      </c>
      <c r="D306" s="443">
        <v>0.0106</v>
      </c>
      <c r="E306" s="444">
        <f t="shared" si="8"/>
        <v>6632.2198</v>
      </c>
      <c r="F306" s="443">
        <v>0.0106</v>
      </c>
      <c r="G306" s="444">
        <f t="shared" si="9"/>
        <v>6723.6544</v>
      </c>
    </row>
  </sheetData>
  <sheetProtection password="BDDB" sheet="1" objects="1" scenarios="1" selectLockedCells="1" selectUnlockedCells="1"/>
  <mergeCells count="2">
    <mergeCell ref="B11:J11"/>
    <mergeCell ref="C13:G13"/>
  </mergeCells>
  <conditionalFormatting sqref="C16:F16 G109:G306 D17:F17">
    <cfRule type="expression" priority="28" dxfId="0">
      <formula>$T16="Closed"</formula>
    </cfRule>
  </conditionalFormatting>
  <conditionalFormatting sqref="C16">
    <cfRule type="expression" priority="27" dxfId="0">
      <formula>$T16="Closed"</formula>
    </cfRule>
  </conditionalFormatting>
  <conditionalFormatting sqref="C16:F16 G109:G306 D17:F17">
    <cfRule type="expression" priority="26" dxfId="0">
      <formula>$T16="Transferred"</formula>
    </cfRule>
  </conditionalFormatting>
  <conditionalFormatting sqref="C16">
    <cfRule type="expression" priority="25" dxfId="0">
      <formula>$T16="Closed"</formula>
    </cfRule>
  </conditionalFormatting>
  <conditionalFormatting sqref="D16:F16">
    <cfRule type="expression" priority="24" dxfId="0">
      <formula>$T16="Closed"</formula>
    </cfRule>
  </conditionalFormatting>
  <conditionalFormatting sqref="D28:E31 D32 D44:F45 D38:F42 F28:F32">
    <cfRule type="expression" priority="23" dxfId="0">
      <formula>S23="Closed"</formula>
    </cfRule>
  </conditionalFormatting>
  <conditionalFormatting sqref="D24:E31 D32 D44:F45 D38:F42 F24:F32">
    <cfRule type="expression" priority="22" dxfId="0">
      <formula>$T19="Closed"</formula>
    </cfRule>
  </conditionalFormatting>
  <conditionalFormatting sqref="D24:E31 D32 D44:F45 D38:F42 F24:F32">
    <cfRule type="expression" priority="21" dxfId="0">
      <formula>$T19="Transferred"</formula>
    </cfRule>
  </conditionalFormatting>
  <conditionalFormatting sqref="D25:F25">
    <cfRule type="expression" priority="20" dxfId="0">
      <formula>$T20="Closed"</formula>
    </cfRule>
  </conditionalFormatting>
  <conditionalFormatting sqref="D46:F46">
    <cfRule type="expression" priority="19" dxfId="0">
      <formula>S41="Closed"</formula>
    </cfRule>
  </conditionalFormatting>
  <conditionalFormatting sqref="D46:F46">
    <cfRule type="expression" priority="18" dxfId="0">
      <formula>$T41="Closed"</formula>
    </cfRule>
  </conditionalFormatting>
  <conditionalFormatting sqref="D46:F46">
    <cfRule type="expression" priority="17" dxfId="0">
      <formula>$T41="Transferred"</formula>
    </cfRule>
  </conditionalFormatting>
  <conditionalFormatting sqref="D46:F46">
    <cfRule type="expression" priority="16" dxfId="0">
      <formula>S41="Closed"</formula>
    </cfRule>
  </conditionalFormatting>
  <conditionalFormatting sqref="D46:F46">
    <cfRule type="expression" priority="15" dxfId="0">
      <formula>$T41="Closed"</formula>
    </cfRule>
  </conditionalFormatting>
  <conditionalFormatting sqref="D46:F46">
    <cfRule type="expression" priority="14" dxfId="0">
      <formula>$T41="Transferred"</formula>
    </cfRule>
  </conditionalFormatting>
  <conditionalFormatting sqref="D46:F46">
    <cfRule type="expression" priority="13" dxfId="0">
      <formula>$T41="Closed"</formula>
    </cfRule>
  </conditionalFormatting>
  <conditionalFormatting sqref="E32 D43:F43 D33:F37">
    <cfRule type="expression" priority="29" dxfId="0">
      <formula>S26="Closed"</formula>
    </cfRule>
  </conditionalFormatting>
  <conditionalFormatting sqref="E32 D43:F43 D33:F37">
    <cfRule type="expression" priority="30" dxfId="0">
      <formula>$T26="Closed"</formula>
    </cfRule>
  </conditionalFormatting>
  <conditionalFormatting sqref="E32 D43:F43 D33:F37">
    <cfRule type="expression" priority="31" dxfId="0">
      <formula>$T26="Transferred"</formula>
    </cfRule>
  </conditionalFormatting>
  <conditionalFormatting sqref="D19:F20">
    <cfRule type="expression" priority="32" dxfId="0">
      <formula>$T18="Closed"</formula>
    </cfRule>
  </conditionalFormatting>
  <conditionalFormatting sqref="D19:F20">
    <cfRule type="expression" priority="33" dxfId="0">
      <formula>$T18="Transferred"</formula>
    </cfRule>
  </conditionalFormatting>
  <conditionalFormatting sqref="D23:F23">
    <cfRule type="expression" priority="34" dxfId="0">
      <formula>$T19="Closed"</formula>
    </cfRule>
  </conditionalFormatting>
  <conditionalFormatting sqref="D23:F23">
    <cfRule type="expression" priority="35" dxfId="0">
      <formula>$T19="Transferred"</formula>
    </cfRule>
  </conditionalFormatting>
  <conditionalFormatting sqref="D22:F22">
    <cfRule type="expression" priority="36" dxfId="0">
      <formula>$T19="Closed"</formula>
    </cfRule>
  </conditionalFormatting>
  <conditionalFormatting sqref="D22:F22">
    <cfRule type="expression" priority="37" dxfId="0">
      <formula>$T19="Transferred"</formula>
    </cfRule>
  </conditionalFormatting>
  <conditionalFormatting sqref="D21:F21">
    <cfRule type="expression" priority="38" dxfId="0">
      <formula>$T19="Closed"</formula>
    </cfRule>
  </conditionalFormatting>
  <conditionalFormatting sqref="D21:F21">
    <cfRule type="expression" priority="39" dxfId="0">
      <formula>$T19="Transferred"</formula>
    </cfRule>
  </conditionalFormatting>
  <conditionalFormatting sqref="G32:G45 G238:G250">
    <cfRule type="expression" priority="40" dxfId="0">
      <formula>O18="Closed"</formula>
    </cfRule>
  </conditionalFormatting>
  <conditionalFormatting sqref="D24:F27">
    <cfRule type="expression" priority="41" dxfId="0">
      <formula>L6="Closed"</formula>
    </cfRule>
  </conditionalFormatting>
  <conditionalFormatting sqref="D19:F20">
    <cfRule type="expression" priority="42" dxfId="0">
      <formula>L5="Closed"</formula>
    </cfRule>
  </conditionalFormatting>
  <conditionalFormatting sqref="D23:F23">
    <cfRule type="expression" priority="43" dxfId="0">
      <formula>L6="Closed"</formula>
    </cfRule>
  </conditionalFormatting>
  <conditionalFormatting sqref="D22:F22">
    <cfRule type="expression" priority="44" dxfId="0">
      <formula>L6="Closed"</formula>
    </cfRule>
  </conditionalFormatting>
  <conditionalFormatting sqref="D21:F21">
    <cfRule type="expression" priority="45" dxfId="0">
      <formula>L6="Closed"</formula>
    </cfRule>
  </conditionalFormatting>
  <conditionalFormatting sqref="G17">
    <cfRule type="expression" priority="11" dxfId="0">
      <formula>$T17="Closed"</formula>
    </cfRule>
  </conditionalFormatting>
  <conditionalFormatting sqref="G17">
    <cfRule type="expression" priority="10" dxfId="0">
      <formula>$T17="Transferred"</formula>
    </cfRule>
  </conditionalFormatting>
  <conditionalFormatting sqref="G18:G25 D17:G17 C16:F16">
    <cfRule type="expression" priority="12" dxfId="0">
      <formula>K3="Closed"</formula>
    </cfRule>
  </conditionalFormatting>
  <conditionalFormatting sqref="G95:G107 G18:G93">
    <cfRule type="expression" priority="8" dxfId="0">
      <formula>$T18="Closed"</formula>
    </cfRule>
  </conditionalFormatting>
  <conditionalFormatting sqref="G95:G107 G18:G93">
    <cfRule type="expression" priority="7" dxfId="0">
      <formula>$T18="Transferred"</formula>
    </cfRule>
  </conditionalFormatting>
  <conditionalFormatting sqref="G95:G107 G26:G32 G46:G93 G109:G237 G251:G292 G306">
    <cfRule type="expression" priority="9" dxfId="0">
      <formula>O13="Closed"</formula>
    </cfRule>
  </conditionalFormatting>
  <conditionalFormatting sqref="G108">
    <cfRule type="expression" priority="5" dxfId="0">
      <formula>$T108="Closed"</formula>
    </cfRule>
  </conditionalFormatting>
  <conditionalFormatting sqref="G108">
    <cfRule type="expression" priority="4" dxfId="0">
      <formula>$T108="Transferred"</formula>
    </cfRule>
  </conditionalFormatting>
  <conditionalFormatting sqref="G108">
    <cfRule type="expression" priority="6" dxfId="0">
      <formula>O95="Closed"</formula>
    </cfRule>
  </conditionalFormatting>
  <conditionalFormatting sqref="G94">
    <cfRule type="expression" priority="2" dxfId="0">
      <formula>$T94="Closed"</formula>
    </cfRule>
  </conditionalFormatting>
  <conditionalFormatting sqref="G94">
    <cfRule type="expression" priority="1" dxfId="0">
      <formula>$T94="Transferred"</formula>
    </cfRule>
  </conditionalFormatting>
  <conditionalFormatting sqref="G94">
    <cfRule type="expression" priority="3" dxfId="0">
      <formula>O81="Closed"</formula>
    </cfRule>
  </conditionalFormatting>
  <conditionalFormatting sqref="G293:G304">
    <cfRule type="expression" priority="46" dxfId="0">
      <formula>O281="Closed"</formula>
    </cfRule>
  </conditionalFormatting>
  <conditionalFormatting sqref="G305">
    <cfRule type="expression" priority="47" dxfId="0">
      <formula>CONTROL!#REF!="Closed"</formula>
    </cfRule>
  </conditionalFormatting>
  <printOptions/>
  <pageMargins left="0.7" right="0.7" top="0.75" bottom="0.75" header="0.3" footer="0.3"/>
  <pageSetup horizontalDpi="600" verticalDpi="600" orientation="portrait" r:id="rId3"/>
  <tableParts>
    <tablePart r:id="rId2"/>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JBetley@icsb.in.gov</dc:creator>
  <cp:keywords/>
  <dc:description/>
  <cp:lastModifiedBy>Abston, Bridgett</cp:lastModifiedBy>
  <cp:lastPrinted>2015-05-15T15:00:03Z</cp:lastPrinted>
  <dcterms:created xsi:type="dcterms:W3CDTF">2009-06-30T21:24:16Z</dcterms:created>
  <dcterms:modified xsi:type="dcterms:W3CDTF">2023-12-04T14:30:38Z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