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820" windowHeight="6525" activeTab="1"/>
  </bookViews>
  <sheets>
    <sheet name="Load_Duration_Target" sheetId="1" r:id="rId1"/>
    <sheet name="WQ_Data" sheetId="2" r:id="rId2"/>
  </sheets>
  <definedNames>
    <definedName name="Area">'Load_Duration_Target'!$E$3</definedName>
  </definedNames>
  <calcPr fullCalcOnLoad="1"/>
</workbook>
</file>

<file path=xl/sharedStrings.xml><?xml version="1.0" encoding="utf-8"?>
<sst xmlns="http://schemas.openxmlformats.org/spreadsheetml/2006/main" count="150" uniqueCount="71">
  <si>
    <t>Sample Date</t>
  </si>
  <si>
    <r>
      <t>Flow</t>
    </r>
    <r>
      <rPr>
        <b/>
        <i/>
        <sz val="9"/>
        <rFont val="Comic Sans MS"/>
        <family val="4"/>
      </rPr>
      <t xml:space="preserve"> (cfs)</t>
    </r>
  </si>
  <si>
    <t>Flow Rank</t>
  </si>
  <si>
    <r>
      <t xml:space="preserve">Flow Rank </t>
    </r>
    <r>
      <rPr>
        <b/>
        <i/>
        <sz val="10"/>
        <color indexed="8"/>
        <rFont val="Comic Sans MS"/>
        <family val="4"/>
      </rPr>
      <t>(%)</t>
    </r>
  </si>
  <si>
    <t>Total Phosphorus Load</t>
  </si>
  <si>
    <t>TSS Load</t>
  </si>
  <si>
    <t>Peak to Low</t>
  </si>
  <si>
    <t>WQ Criteria</t>
  </si>
  <si>
    <t>cfs</t>
  </si>
  <si>
    <t>mm</t>
  </si>
  <si>
    <t xml:space="preserve">Site ID   </t>
  </si>
  <si>
    <t xml:space="preserve">Stream Name   </t>
  </si>
  <si>
    <t xml:space="preserve">8-Digit HUC   </t>
  </si>
  <si>
    <t xml:space="preserve">Drainage Area   </t>
  </si>
  <si>
    <t>Sample Time</t>
  </si>
  <si>
    <t xml:space="preserve">USGS Gage </t>
  </si>
  <si>
    <t>TSS (mg/L)</t>
  </si>
  <si>
    <r>
      <t xml:space="preserve">Delta Q </t>
    </r>
    <r>
      <rPr>
        <b/>
        <i/>
        <sz val="9"/>
        <rFont val="Comic Sans MS"/>
        <family val="4"/>
      </rPr>
      <t>(mm)</t>
    </r>
  </si>
  <si>
    <r>
      <t xml:space="preserve">Delta Q </t>
    </r>
    <r>
      <rPr>
        <b/>
        <i/>
        <sz val="9"/>
        <rFont val="Comic Sans MS"/>
        <family val="4"/>
      </rPr>
      <t>(cfs)</t>
    </r>
  </si>
  <si>
    <t>Delta Q</t>
  </si>
  <si>
    <t>All Data</t>
  </si>
  <si>
    <t>Seasonal</t>
  </si>
  <si>
    <t>Power Point Copy Columns</t>
  </si>
  <si>
    <t>over</t>
  </si>
  <si>
    <t>sq.mi.</t>
  </si>
  <si>
    <t>to</t>
  </si>
  <si>
    <t>Season:</t>
  </si>
  <si>
    <r>
      <t xml:space="preserve">High Flows </t>
    </r>
    <r>
      <rPr>
        <b/>
        <i/>
        <sz val="8"/>
        <rFont val="Comic Sans MS"/>
        <family val="4"/>
      </rPr>
      <t>(0-10)</t>
    </r>
  </si>
  <si>
    <t>Value</t>
  </si>
  <si>
    <r>
      <t xml:space="preserve">Moist </t>
    </r>
    <r>
      <rPr>
        <b/>
        <i/>
        <sz val="8"/>
        <rFont val="Comic Sans MS"/>
        <family val="4"/>
      </rPr>
      <t>(10-40)</t>
    </r>
  </si>
  <si>
    <r>
      <t xml:space="preserve">Dry </t>
    </r>
    <r>
      <rPr>
        <b/>
        <i/>
        <sz val="8"/>
        <rFont val="Comic Sans MS"/>
        <family val="4"/>
      </rPr>
      <t>(60-90)</t>
    </r>
  </si>
  <si>
    <r>
      <t xml:space="preserve">Low Flows </t>
    </r>
    <r>
      <rPr>
        <b/>
        <i/>
        <sz val="8"/>
        <rFont val="Comic Sans MS"/>
        <family val="4"/>
      </rPr>
      <t>(90-100)</t>
    </r>
  </si>
  <si>
    <t>90th Percentile</t>
  </si>
  <si>
    <t>Median</t>
  </si>
  <si>
    <r>
      <t xml:space="preserve">Stormflow </t>
    </r>
    <r>
      <rPr>
        <b/>
        <i/>
        <sz val="9"/>
        <rFont val="Comic Sans MS"/>
        <family val="4"/>
      </rPr>
      <t>(%)</t>
    </r>
  </si>
  <si>
    <t>E. Coli (CFU/100mL)</t>
  </si>
  <si>
    <t>E. Coli Load</t>
  </si>
  <si>
    <t>Phosphorus, Total (mg/L)</t>
  </si>
  <si>
    <t>NO2+NO3 (mg/L)</t>
  </si>
  <si>
    <t>NO2+NO3 Load</t>
  </si>
  <si>
    <t>Year:</t>
  </si>
  <si>
    <t>Flag</t>
  </si>
  <si>
    <r>
      <t xml:space="preserve">Mid-Range </t>
    </r>
    <r>
      <rPr>
        <b/>
        <i/>
        <sz val="8"/>
        <rFont val="Comic Sans MS"/>
        <family val="4"/>
      </rPr>
      <t>(40-60)</t>
    </r>
  </si>
  <si>
    <t xml:space="preserve">Station ID: </t>
  </si>
  <si>
    <t xml:space="preserve">Station name: </t>
  </si>
  <si>
    <t>Stormflow:</t>
  </si>
  <si>
    <t>Threshhold</t>
  </si>
  <si>
    <t>Stormflow</t>
  </si>
  <si>
    <t>St. Marys at Decatur, IN</t>
  </si>
  <si>
    <t>04181500</t>
  </si>
  <si>
    <t/>
  </si>
  <si>
    <t>St. Marys at Pleasant Mill</t>
  </si>
  <si>
    <t>LES040-007</t>
  </si>
  <si>
    <t>04100004</t>
  </si>
  <si>
    <t>Decatur Gage</t>
  </si>
  <si>
    <t>Number of Values</t>
  </si>
  <si>
    <t>High</t>
  </si>
  <si>
    <t>Moist</t>
  </si>
  <si>
    <t>Mid</t>
  </si>
  <si>
    <t>Dry</t>
  </si>
  <si>
    <t>Low</t>
  </si>
  <si>
    <t>LOAD DURATION SUMMARY</t>
  </si>
  <si>
    <t>Load</t>
  </si>
  <si>
    <r>
      <t xml:space="preserve"> </t>
    </r>
    <r>
      <rPr>
        <b/>
        <sz val="9"/>
        <rFont val="Comic Sans MS"/>
        <family val="4"/>
      </rPr>
      <t xml:space="preserve">= </t>
    </r>
    <r>
      <rPr>
        <b/>
        <u val="single"/>
        <sz val="9"/>
        <rFont val="Comic Sans MS"/>
        <family val="4"/>
      </rPr>
      <t>Drainage Area</t>
    </r>
    <r>
      <rPr>
        <b/>
        <i/>
        <sz val="9"/>
        <rFont val="Comic Sans MS"/>
        <family val="4"/>
      </rPr>
      <t xml:space="preserve">  (square miles)</t>
    </r>
  </si>
  <si>
    <t>Key Loading Equations</t>
  </si>
  <si>
    <t>Load (lb/day) = Criteria * Flow * (5.38)</t>
  </si>
  <si>
    <t>Bacteria Load (counts/day)</t>
  </si>
  <si>
    <t xml:space="preserve">     = Criteria * Flow * ((28317/100)*60*60*24)</t>
  </si>
  <si>
    <t xml:space="preserve">     = Criteria * Flow * (5.38/2000)</t>
  </si>
  <si>
    <t>TSS Load (tons/day)</t>
  </si>
  <si>
    <r>
      <t>Note</t>
    </r>
    <r>
      <rPr>
        <b/>
        <i/>
        <sz val="8"/>
        <rFont val="Comic Sans MS"/>
        <family val="4"/>
      </rPr>
      <t>:   1 ft^3 = 28,317 mL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</si>
</sst>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  <numFmt numFmtId="166" formatCode="0.0"/>
    <numFmt numFmtId="167" formatCode="0.0000"/>
    <numFmt numFmtId="168" formatCode="0.0%"/>
    <numFmt numFmtId="169" formatCode="0.0E+00"/>
    <numFmt numFmtId="170" formatCode="mm/dd/yy"/>
    <numFmt numFmtId="171" formatCode="0.000%"/>
    <numFmt numFmtId="172" formatCode="0.00000"/>
    <numFmt numFmtId="173" formatCode="0.000000"/>
    <numFmt numFmtId="174" formatCode="0.0000000"/>
    <numFmt numFmtId="175" formatCode="0.00000000"/>
    <numFmt numFmtId="176" formatCode="mmmmm"/>
    <numFmt numFmtId="177" formatCode="0.0000%"/>
    <numFmt numFmtId="178" formatCode="#,##0.0"/>
    <numFmt numFmtId="179" formatCode="#,##0.000"/>
    <numFmt numFmtId="180" formatCode="#,##0.0000"/>
    <numFmt numFmtId="181" formatCode="m/d/yyyy;@"/>
  </numFmts>
  <fonts count="22">
    <font>
      <sz val="10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sz val="9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MS Sans Serif"/>
      <family val="0"/>
    </font>
    <font>
      <b/>
      <i/>
      <sz val="10"/>
      <color indexed="8"/>
      <name val="Comic Sans MS"/>
      <family val="4"/>
    </font>
    <font>
      <b/>
      <sz val="8"/>
      <name val="Comic Sans MS"/>
      <family val="4"/>
    </font>
    <font>
      <b/>
      <i/>
      <sz val="8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i/>
      <u val="double"/>
      <sz val="9"/>
      <name val="Comic Sans MS"/>
      <family val="4"/>
    </font>
    <font>
      <b/>
      <u val="single"/>
      <sz val="9"/>
      <name val="Comic Sans MS"/>
      <family val="4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b/>
      <i/>
      <u val="single"/>
      <sz val="8"/>
      <name val="Comic Sans MS"/>
      <family val="4"/>
    </font>
    <font>
      <sz val="8"/>
      <color indexed="8"/>
      <name val="Comic Sans MS"/>
      <family val="4"/>
    </font>
    <font>
      <b/>
      <i/>
      <u val="single"/>
      <sz val="9"/>
      <name val="Comic Sans MS"/>
      <family val="4"/>
    </font>
    <font>
      <i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1" fontId="10" fillId="4" borderId="0" xfId="0" applyNumberFormat="1" applyFont="1" applyFill="1" applyAlignment="1">
      <alignment/>
    </xf>
    <xf numFmtId="166" fontId="10" fillId="4" borderId="0" xfId="0" applyNumberFormat="1" applyFont="1" applyFill="1" applyAlignment="1">
      <alignment/>
    </xf>
    <xf numFmtId="0" fontId="5" fillId="5" borderId="2" xfId="21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0" fontId="4" fillId="6" borderId="0" xfId="0" applyFont="1" applyFill="1" applyAlignment="1">
      <alignment horizontal="left"/>
    </xf>
    <xf numFmtId="0" fontId="1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 quotePrefix="1">
      <alignment horizontal="center"/>
    </xf>
    <xf numFmtId="0" fontId="14" fillId="6" borderId="0" xfId="0" applyFont="1" applyFill="1" applyAlignment="1">
      <alignment horizontal="center"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168" fontId="10" fillId="0" borderId="0" xfId="22" applyNumberFormat="1" applyFont="1" applyAlignment="1">
      <alignment/>
    </xf>
    <xf numFmtId="164" fontId="10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166" fontId="10" fillId="7" borderId="0" xfId="0" applyNumberFormat="1" applyFont="1" applyFill="1" applyAlignment="1">
      <alignment/>
    </xf>
    <xf numFmtId="2" fontId="8" fillId="8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1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176" fontId="9" fillId="8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2" fillId="6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0" fontId="10" fillId="5" borderId="0" xfId="0" applyNumberFormat="1" applyFont="1" applyFill="1" applyAlignment="1">
      <alignment/>
    </xf>
    <xf numFmtId="180" fontId="10" fillId="0" borderId="0" xfId="0" applyNumberFormat="1" applyFont="1" applyAlignment="1">
      <alignment/>
    </xf>
    <xf numFmtId="0" fontId="8" fillId="9" borderId="0" xfId="0" applyFont="1" applyFill="1" applyAlignment="1">
      <alignment/>
    </xf>
    <xf numFmtId="10" fontId="3" fillId="4" borderId="0" xfId="22" applyNumberFormat="1" applyFont="1" applyFill="1" applyAlignment="1">
      <alignment/>
    </xf>
    <xf numFmtId="9" fontId="3" fillId="4" borderId="0" xfId="22" applyNumberFormat="1" applyFont="1" applyFill="1" applyAlignment="1">
      <alignment/>
    </xf>
    <xf numFmtId="171" fontId="3" fillId="4" borderId="0" xfId="22" applyNumberFormat="1" applyFont="1" applyFill="1" applyAlignment="1">
      <alignment/>
    </xf>
    <xf numFmtId="0" fontId="8" fillId="10" borderId="3" xfId="0" applyFont="1" applyFill="1" applyBorder="1" applyAlignment="1" quotePrefix="1">
      <alignment horizontal="center"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6" fontId="5" fillId="11" borderId="2" xfId="21" applyNumberFormat="1" applyFont="1" applyFill="1" applyBorder="1" applyAlignment="1">
      <alignment horizontal="center" wrapText="1"/>
      <protection/>
    </xf>
    <xf numFmtId="0" fontId="5" fillId="11" borderId="2" xfId="21" applyFont="1" applyFill="1" applyBorder="1" applyAlignment="1">
      <alignment horizontal="center" wrapText="1"/>
      <protection/>
    </xf>
    <xf numFmtId="1" fontId="9" fillId="9" borderId="0" xfId="0" applyNumberFormat="1" applyFont="1" applyFill="1" applyAlignment="1">
      <alignment/>
    </xf>
    <xf numFmtId="0" fontId="1" fillId="9" borderId="0" xfId="0" applyFont="1" applyFill="1" applyAlignment="1">
      <alignment/>
    </xf>
    <xf numFmtId="168" fontId="10" fillId="7" borderId="0" xfId="22" applyNumberFormat="1" applyFont="1" applyFill="1" applyAlignment="1">
      <alignment/>
    </xf>
    <xf numFmtId="9" fontId="8" fillId="8" borderId="0" xfId="22" applyFont="1" applyFill="1" applyAlignment="1">
      <alignment horizontal="center"/>
    </xf>
    <xf numFmtId="2" fontId="10" fillId="0" borderId="0" xfId="0" applyNumberFormat="1" applyFont="1" applyAlignment="1">
      <alignment/>
    </xf>
    <xf numFmtId="0" fontId="4" fillId="6" borderId="0" xfId="0" applyFont="1" applyFill="1" applyAlignment="1" quotePrefix="1">
      <alignment horizontal="left"/>
    </xf>
    <xf numFmtId="166" fontId="10" fillId="10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/>
    </xf>
    <xf numFmtId="166" fontId="9" fillId="12" borderId="0" xfId="0" applyNumberFormat="1" applyFont="1" applyFill="1" applyAlignment="1">
      <alignment/>
    </xf>
    <xf numFmtId="0" fontId="1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2" fontId="9" fillId="1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8" fillId="9" borderId="0" xfId="0" applyFont="1" applyFill="1" applyAlignment="1">
      <alignment horizontal="right"/>
    </xf>
    <xf numFmtId="0" fontId="8" fillId="9" borderId="0" xfId="0" applyFont="1" applyFill="1" applyAlignment="1" quotePrefix="1">
      <alignment/>
    </xf>
    <xf numFmtId="176" fontId="9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8" fillId="2" borderId="0" xfId="22" applyFont="1" applyFill="1" applyAlignment="1">
      <alignment horizontal="center"/>
    </xf>
    <xf numFmtId="0" fontId="4" fillId="6" borderId="0" xfId="0" applyNumberFormat="1" applyFont="1" applyFill="1" applyAlignment="1" quotePrefix="1">
      <alignment/>
    </xf>
    <xf numFmtId="14" fontId="19" fillId="0" borderId="0" xfId="21" applyNumberFormat="1" applyFont="1" applyFill="1" applyBorder="1" applyAlignment="1">
      <alignment horizontal="right"/>
      <protection/>
    </xf>
    <xf numFmtId="20" fontId="10" fillId="0" borderId="0" xfId="0" applyNumberFormat="1" applyFont="1" applyAlignment="1">
      <alignment horizontal="right"/>
    </xf>
    <xf numFmtId="0" fontId="19" fillId="0" borderId="7" xfId="21" applyFont="1" applyFill="1" applyBorder="1" applyAlignment="1">
      <alignment horizontal="right" wrapText="1"/>
      <protection/>
    </xf>
    <xf numFmtId="166" fontId="10" fillId="0" borderId="0" xfId="0" applyNumberFormat="1" applyFont="1" applyAlignment="1">
      <alignment horizontal="right"/>
    </xf>
    <xf numFmtId="2" fontId="19" fillId="0" borderId="7" xfId="21" applyNumberFormat="1" applyFont="1" applyFill="1" applyBorder="1" applyAlignment="1">
      <alignment horizontal="right" wrapText="1"/>
      <protection/>
    </xf>
    <xf numFmtId="14" fontId="19" fillId="0" borderId="7" xfId="21" applyNumberFormat="1" applyFont="1" applyFill="1" applyBorder="1" applyAlignment="1">
      <alignment horizontal="right"/>
      <protection/>
    </xf>
    <xf numFmtId="20" fontId="10" fillId="0" borderId="0" xfId="0" applyNumberFormat="1" applyFont="1" applyAlignment="1">
      <alignment/>
    </xf>
    <xf numFmtId="1" fontId="9" fillId="2" borderId="0" xfId="0" applyNumberFormat="1" applyFont="1" applyFill="1" applyAlignment="1">
      <alignment/>
    </xf>
    <xf numFmtId="1" fontId="9" fillId="12" borderId="0" xfId="0" applyNumberFormat="1" applyFont="1" applyFill="1" applyAlignment="1">
      <alignment/>
    </xf>
    <xf numFmtId="0" fontId="11" fillId="13" borderId="0" xfId="0" applyFont="1" applyFill="1" applyAlignment="1">
      <alignment/>
    </xf>
    <xf numFmtId="0" fontId="0" fillId="13" borderId="0" xfId="0" applyFill="1" applyAlignment="1">
      <alignment/>
    </xf>
    <xf numFmtId="0" fontId="12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20" fillId="13" borderId="0" xfId="0" applyFont="1" applyFill="1" applyAlignment="1">
      <alignment horizontal="center"/>
    </xf>
    <xf numFmtId="0" fontId="4" fillId="9" borderId="0" xfId="0" applyFont="1" applyFill="1" applyAlignment="1" quotePrefix="1">
      <alignment/>
    </xf>
    <xf numFmtId="0" fontId="0" fillId="9" borderId="0" xfId="0" applyFill="1" applyAlignment="1">
      <alignment/>
    </xf>
    <xf numFmtId="166" fontId="3" fillId="9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69" fontId="13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169" fontId="9" fillId="12" borderId="0" xfId="0" applyNumberFormat="1" applyFont="1" applyFill="1" applyAlignment="1" quotePrefix="1">
      <alignment/>
    </xf>
    <xf numFmtId="0" fontId="21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18" fillId="12" borderId="0" xfId="0" applyFont="1" applyFill="1" applyAlignment="1" quotePrefix="1">
      <alignment/>
    </xf>
    <xf numFmtId="0" fontId="3" fillId="6" borderId="0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4" fillId="6" borderId="0" xfId="0" applyFont="1" applyFill="1" applyAlignment="1">
      <alignment horizontal="left"/>
    </xf>
    <xf numFmtId="0" fontId="17" fillId="8" borderId="3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166" fontId="10" fillId="8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workbookViewId="0" topLeftCell="A1">
      <selection activeCell="A1" sqref="A1"/>
    </sheetView>
  </sheetViews>
  <sheetFormatPr defaultColWidth="9.140625" defaultRowHeight="12.75"/>
  <cols>
    <col min="5" max="5" width="12.7109375" style="0" customWidth="1"/>
    <col min="6" max="9" width="8.7109375" style="0" customWidth="1"/>
  </cols>
  <sheetData>
    <row r="1" spans="1:9" ht="16.5">
      <c r="A1" s="86" t="s">
        <v>61</v>
      </c>
      <c r="B1" s="87"/>
      <c r="C1" s="87"/>
      <c r="D1" s="87"/>
      <c r="E1" s="65" t="s">
        <v>43</v>
      </c>
      <c r="F1" s="66" t="s">
        <v>49</v>
      </c>
      <c r="G1" s="39"/>
      <c r="H1" s="39"/>
      <c r="I1" s="39"/>
    </row>
    <row r="2" spans="1:9" ht="14.25">
      <c r="A2" s="87"/>
      <c r="B2" s="88" t="s">
        <v>6</v>
      </c>
      <c r="C2" s="87"/>
      <c r="D2" s="87"/>
      <c r="E2" s="65" t="s">
        <v>44</v>
      </c>
      <c r="F2" s="39" t="s">
        <v>48</v>
      </c>
      <c r="G2" s="39"/>
      <c r="H2" s="39"/>
      <c r="I2" s="39"/>
    </row>
    <row r="3" spans="1:9" ht="14.25">
      <c r="A3" s="89"/>
      <c r="B3" s="90" t="s">
        <v>8</v>
      </c>
      <c r="C3" s="90" t="s">
        <v>9</v>
      </c>
      <c r="D3" s="90" t="s">
        <v>62</v>
      </c>
      <c r="E3" s="93">
        <v>621</v>
      </c>
      <c r="F3" s="91" t="s">
        <v>63</v>
      </c>
      <c r="G3" s="92"/>
      <c r="H3" s="92"/>
      <c r="I3" s="92"/>
    </row>
    <row r="4" spans="1:9" ht="14.25">
      <c r="A4" s="42">
        <v>4E-05</v>
      </c>
      <c r="B4" s="34">
        <v>15300</v>
      </c>
      <c r="C4" s="36">
        <v>23.273728930211057</v>
      </c>
      <c r="D4" s="12">
        <f>$F$10*B4*(5.38/2000)</f>
        <v>2057.85</v>
      </c>
      <c r="E4" s="43" t="s">
        <v>56</v>
      </c>
      <c r="F4" s="43" t="s">
        <v>57</v>
      </c>
      <c r="G4" s="43" t="s">
        <v>58</v>
      </c>
      <c r="H4" s="43" t="s">
        <v>59</v>
      </c>
      <c r="I4" s="43" t="s">
        <v>60</v>
      </c>
    </row>
    <row r="5" spans="1:9" ht="13.5">
      <c r="A5" s="40">
        <v>0.0001</v>
      </c>
      <c r="B5" s="34">
        <v>14081.246100004264</v>
      </c>
      <c r="C5" s="36">
        <v>21.419810766737964</v>
      </c>
      <c r="D5" s="12">
        <f aca="true" t="shared" si="0" ref="D5:D28">$F$10*B5*(5.38/2000)</f>
        <v>1893.9276004505737</v>
      </c>
      <c r="E5" s="94">
        <f>B8</f>
        <v>2420</v>
      </c>
      <c r="F5" s="94">
        <f>B12</f>
        <v>518</v>
      </c>
      <c r="G5" s="12">
        <f>B17</f>
        <v>130</v>
      </c>
      <c r="H5" s="12">
        <f>B22</f>
        <v>41</v>
      </c>
      <c r="I5" s="12">
        <f>B26</f>
        <v>18</v>
      </c>
    </row>
    <row r="6" spans="1:9" ht="13.5">
      <c r="A6" s="40">
        <v>0.001</v>
      </c>
      <c r="B6" s="34">
        <v>9361.949999999924</v>
      </c>
      <c r="C6" s="36">
        <v>14.241012193345599</v>
      </c>
      <c r="D6" s="12">
        <f t="shared" si="0"/>
        <v>1259.1822749999899</v>
      </c>
      <c r="E6" s="36">
        <f>C8</f>
        <v>3.681204183732729</v>
      </c>
      <c r="F6" s="36">
        <f>C12</f>
        <v>0.7879602343692371</v>
      </c>
      <c r="G6" s="36">
        <f>C17</f>
        <v>0.19775063796911355</v>
      </c>
      <c r="H6" s="36">
        <f>C22</f>
        <v>0.0623675088979512</v>
      </c>
      <c r="I6" s="36">
        <f>C26</f>
        <v>0.027380857564954182</v>
      </c>
    </row>
    <row r="7" spans="1:9" ht="13.5">
      <c r="A7" s="41">
        <v>0.01</v>
      </c>
      <c r="B7" s="34">
        <v>4600</v>
      </c>
      <c r="C7" s="36">
        <v>6.997330266599403</v>
      </c>
      <c r="D7" s="12">
        <f t="shared" si="0"/>
        <v>618.7</v>
      </c>
      <c r="E7" s="54">
        <f>D8</f>
        <v>325.49</v>
      </c>
      <c r="F7" s="54">
        <f>D12</f>
        <v>69.671</v>
      </c>
      <c r="G7" s="54">
        <f>D17</f>
        <v>17.485</v>
      </c>
      <c r="H7" s="54">
        <f>D22</f>
        <v>5.5145</v>
      </c>
      <c r="I7" s="54">
        <f>D26</f>
        <v>2.4210000000000003</v>
      </c>
    </row>
    <row r="8" spans="1:9" ht="14.25">
      <c r="A8" s="41">
        <v>0.05</v>
      </c>
      <c r="B8" s="34">
        <v>2420</v>
      </c>
      <c r="C8" s="36">
        <v>3.681204183732729</v>
      </c>
      <c r="D8" s="12">
        <f t="shared" si="0"/>
        <v>325.49</v>
      </c>
      <c r="F8" s="11"/>
      <c r="H8" s="3"/>
      <c r="I8" s="3"/>
    </row>
    <row r="9" spans="1:9" ht="14.25">
      <c r="A9" s="41">
        <v>0.1</v>
      </c>
      <c r="B9" s="34">
        <v>1510</v>
      </c>
      <c r="C9" s="36">
        <v>2.296949717948934</v>
      </c>
      <c r="D9" s="12">
        <f t="shared" si="0"/>
        <v>203.095</v>
      </c>
      <c r="F9" s="11"/>
      <c r="H9" s="3"/>
      <c r="I9" s="3"/>
    </row>
    <row r="10" spans="1:9" ht="13.5">
      <c r="A10" s="41">
        <v>0.15</v>
      </c>
      <c r="B10" s="34">
        <v>1030</v>
      </c>
      <c r="C10" s="36">
        <v>1.566793516216823</v>
      </c>
      <c r="D10" s="12">
        <f t="shared" si="0"/>
        <v>138.535</v>
      </c>
      <c r="F10" s="32">
        <v>50</v>
      </c>
      <c r="G10" s="33" t="s">
        <v>7</v>
      </c>
      <c r="H10" s="33"/>
      <c r="I10" s="33"/>
    </row>
    <row r="11" spans="1:4" ht="13.5">
      <c r="A11" s="41">
        <v>0.2</v>
      </c>
      <c r="B11" s="34">
        <v>710</v>
      </c>
      <c r="C11" s="36">
        <v>1.0800227150620818</v>
      </c>
      <c r="D11" s="12">
        <f t="shared" si="0"/>
        <v>95.495</v>
      </c>
    </row>
    <row r="12" spans="1:10" ht="13.5">
      <c r="A12" s="41">
        <v>0.25</v>
      </c>
      <c r="B12" s="34">
        <v>518</v>
      </c>
      <c r="C12" s="36">
        <v>0.7879602343692371</v>
      </c>
      <c r="D12" s="12">
        <f t="shared" si="0"/>
        <v>69.671</v>
      </c>
      <c r="F12" s="95" t="s">
        <v>64</v>
      </c>
      <c r="G12" s="96"/>
      <c r="H12" s="96"/>
      <c r="I12" s="96"/>
      <c r="J12" s="96"/>
    </row>
    <row r="13" spans="1:10" ht="13.5">
      <c r="A13" s="41">
        <v>0.3</v>
      </c>
      <c r="B13" s="34">
        <v>381</v>
      </c>
      <c r="C13" s="36">
        <v>0.5795614851248636</v>
      </c>
      <c r="D13" s="12">
        <f t="shared" si="0"/>
        <v>51.2445</v>
      </c>
      <c r="F13" s="96"/>
      <c r="G13" s="96"/>
      <c r="H13" s="96"/>
      <c r="I13" s="96"/>
      <c r="J13" s="96"/>
    </row>
    <row r="14" spans="1:10" ht="14.25">
      <c r="A14" s="41">
        <v>0.35</v>
      </c>
      <c r="B14" s="34">
        <v>280</v>
      </c>
      <c r="C14" s="36">
        <v>0.42592445101039844</v>
      </c>
      <c r="D14" s="12">
        <f t="shared" si="0"/>
        <v>37.660000000000004</v>
      </c>
      <c r="F14" s="97" t="s">
        <v>65</v>
      </c>
      <c r="G14" s="96"/>
      <c r="H14" s="96"/>
      <c r="I14" s="96"/>
      <c r="J14" s="96"/>
    </row>
    <row r="15" spans="1:10" ht="13.5">
      <c r="A15" s="41">
        <v>0.4</v>
      </c>
      <c r="B15" s="34">
        <v>214</v>
      </c>
      <c r="C15" s="36">
        <v>0.3255279732722331</v>
      </c>
      <c r="D15" s="12">
        <f t="shared" si="0"/>
        <v>28.783</v>
      </c>
      <c r="F15" s="98"/>
      <c r="G15" s="96"/>
      <c r="H15" s="96"/>
      <c r="I15" s="96"/>
      <c r="J15" s="96"/>
    </row>
    <row r="16" spans="1:10" ht="14.25">
      <c r="A16" s="41">
        <v>0.45</v>
      </c>
      <c r="B16" s="34">
        <v>165</v>
      </c>
      <c r="C16" s="36">
        <v>0.25099119434541334</v>
      </c>
      <c r="D16" s="12">
        <f t="shared" si="0"/>
        <v>22.192500000000003</v>
      </c>
      <c r="F16" s="97" t="s">
        <v>69</v>
      </c>
      <c r="G16" s="96"/>
      <c r="H16" s="96"/>
      <c r="I16" s="96"/>
      <c r="J16" s="96"/>
    </row>
    <row r="17" spans="1:10" ht="14.25">
      <c r="A17" s="41">
        <v>0.5</v>
      </c>
      <c r="B17" s="34">
        <v>130</v>
      </c>
      <c r="C17" s="36">
        <v>0.19775063796911355</v>
      </c>
      <c r="D17" s="12">
        <f t="shared" si="0"/>
        <v>17.485</v>
      </c>
      <c r="F17" s="97" t="s">
        <v>68</v>
      </c>
      <c r="G17" s="96"/>
      <c r="H17" s="99"/>
      <c r="I17" s="99"/>
      <c r="J17" s="96"/>
    </row>
    <row r="18" spans="1:10" ht="13.5">
      <c r="A18" s="41">
        <v>0.55</v>
      </c>
      <c r="B18" s="34">
        <v>104</v>
      </c>
      <c r="C18" s="36">
        <v>0.15820051037529084</v>
      </c>
      <c r="D18" s="12">
        <f t="shared" si="0"/>
        <v>13.988000000000001</v>
      </c>
      <c r="F18" s="96"/>
      <c r="G18" s="96"/>
      <c r="H18" s="96"/>
      <c r="I18" s="96"/>
      <c r="J18" s="96"/>
    </row>
    <row r="19" spans="1:10" ht="13.5">
      <c r="A19" s="41">
        <v>0.6</v>
      </c>
      <c r="B19" s="34">
        <v>82</v>
      </c>
      <c r="C19" s="36">
        <v>0.1247350177959024</v>
      </c>
      <c r="D19" s="12">
        <f t="shared" si="0"/>
        <v>11.029</v>
      </c>
      <c r="F19" s="96"/>
      <c r="G19" s="96"/>
      <c r="H19" s="96"/>
      <c r="I19" s="96"/>
      <c r="J19" s="96"/>
    </row>
    <row r="20" spans="1:10" ht="14.25">
      <c r="A20" s="41">
        <v>0.65</v>
      </c>
      <c r="B20" s="34">
        <v>66</v>
      </c>
      <c r="C20" s="36">
        <v>0.10039647773816535</v>
      </c>
      <c r="D20" s="12">
        <f t="shared" si="0"/>
        <v>8.877</v>
      </c>
      <c r="F20" s="97" t="s">
        <v>66</v>
      </c>
      <c r="G20" s="96"/>
      <c r="H20" s="96"/>
      <c r="I20" s="96"/>
      <c r="J20" s="96"/>
    </row>
    <row r="21" spans="1:10" ht="14.25">
      <c r="A21" s="41">
        <v>0.7</v>
      </c>
      <c r="B21" s="34">
        <v>51</v>
      </c>
      <c r="C21" s="36">
        <v>0.07757909643403685</v>
      </c>
      <c r="D21" s="12">
        <f t="shared" si="0"/>
        <v>6.859500000000001</v>
      </c>
      <c r="F21" s="97" t="s">
        <v>67</v>
      </c>
      <c r="G21" s="96"/>
      <c r="H21" s="96"/>
      <c r="I21" s="96"/>
      <c r="J21" s="96"/>
    </row>
    <row r="22" spans="1:10" ht="14.25">
      <c r="A22" s="41">
        <v>0.75</v>
      </c>
      <c r="B22" s="34">
        <v>41</v>
      </c>
      <c r="C22" s="36">
        <v>0.0623675088979512</v>
      </c>
      <c r="D22" s="12">
        <f t="shared" si="0"/>
        <v>5.5145</v>
      </c>
      <c r="F22" s="96"/>
      <c r="G22" s="100" t="s">
        <v>70</v>
      </c>
      <c r="H22" s="96"/>
      <c r="I22" s="96"/>
      <c r="J22" s="96"/>
    </row>
    <row r="23" spans="1:6" ht="13.5">
      <c r="A23" s="41">
        <v>0.8</v>
      </c>
      <c r="B23" s="34">
        <v>34</v>
      </c>
      <c r="C23" s="36">
        <v>0.05171939762269124</v>
      </c>
      <c r="D23" s="12">
        <f t="shared" si="0"/>
        <v>4.573</v>
      </c>
      <c r="F23" s="11"/>
    </row>
    <row r="24" spans="1:6" ht="13.5">
      <c r="A24" s="41">
        <v>0.85</v>
      </c>
      <c r="B24" s="34">
        <v>28</v>
      </c>
      <c r="C24" s="36">
        <v>0.04259244510103984</v>
      </c>
      <c r="D24" s="12">
        <f t="shared" si="0"/>
        <v>3.766</v>
      </c>
      <c r="F24" s="11"/>
    </row>
    <row r="25" spans="1:6" ht="13.5">
      <c r="A25" s="41">
        <v>0.9</v>
      </c>
      <c r="B25" s="34">
        <v>23</v>
      </c>
      <c r="C25" s="36">
        <v>0.03498665133299701</v>
      </c>
      <c r="D25" s="12">
        <f t="shared" si="0"/>
        <v>3.0935</v>
      </c>
      <c r="F25" s="11"/>
    </row>
    <row r="26" spans="1:6" ht="13.5">
      <c r="A26" s="41">
        <v>0.95</v>
      </c>
      <c r="B26" s="34">
        <v>18</v>
      </c>
      <c r="C26" s="36">
        <v>0.027380857564954182</v>
      </c>
      <c r="D26" s="12">
        <f t="shared" si="0"/>
        <v>2.4210000000000003</v>
      </c>
      <c r="F26" s="11"/>
    </row>
    <row r="27" spans="1:6" ht="13.5">
      <c r="A27" s="41">
        <v>0.99</v>
      </c>
      <c r="B27" s="34">
        <v>12</v>
      </c>
      <c r="C27" s="38">
        <v>0.01825390504330279</v>
      </c>
      <c r="D27" s="12">
        <f t="shared" si="0"/>
        <v>1.614</v>
      </c>
      <c r="F27" s="11"/>
    </row>
    <row r="28" spans="1:6" ht="13.5">
      <c r="A28" s="41">
        <v>1</v>
      </c>
      <c r="B28" s="34">
        <v>5.4</v>
      </c>
      <c r="C28" s="38">
        <v>0.008214257269486257</v>
      </c>
      <c r="D28" s="12">
        <f t="shared" si="0"/>
        <v>0.7263000000000001</v>
      </c>
      <c r="F28" s="11"/>
    </row>
    <row r="29" spans="2:3" ht="12.75">
      <c r="B29" s="35"/>
      <c r="C29" s="35"/>
    </row>
    <row r="45" ht="30" customHeight="1"/>
  </sheetData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F14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0.57421875" style="2" customWidth="1"/>
    <col min="2" max="3" width="11.28125" style="1" customWidth="1"/>
    <col min="4" max="4" width="9.28125" style="1" customWidth="1"/>
    <col min="5" max="5" width="9.57421875" style="1" customWidth="1"/>
    <col min="6" max="6" width="9.140625" style="1" customWidth="1"/>
    <col min="7" max="7" width="12.7109375" style="1" customWidth="1"/>
    <col min="8" max="8" width="12.00390625" style="4" customWidth="1"/>
    <col min="9" max="9" width="10.421875" style="1" customWidth="1"/>
    <col min="10" max="10" width="9.28125" style="1" customWidth="1"/>
    <col min="11" max="14" width="9.140625" style="1" customWidth="1"/>
    <col min="15" max="15" width="9.57421875" style="1" customWidth="1"/>
    <col min="16" max="16" width="10.57421875" style="1" customWidth="1"/>
    <col min="17" max="18" width="9.7109375" style="1" customWidth="1"/>
    <col min="19" max="19" width="9.140625" style="1" customWidth="1"/>
    <col min="20" max="20" width="7.28125" style="1" customWidth="1"/>
    <col min="21" max="21" width="9.57421875" style="1" customWidth="1"/>
    <col min="22" max="22" width="7.28125" style="1" customWidth="1"/>
    <col min="23" max="23" width="8.7109375" style="1" customWidth="1"/>
    <col min="24" max="24" width="10.7109375" style="1" customWidth="1"/>
    <col min="25" max="25" width="9.7109375" style="1" customWidth="1"/>
    <col min="26" max="26" width="7.8515625" style="1" customWidth="1"/>
    <col min="27" max="27" width="9.7109375" style="1" customWidth="1"/>
    <col min="28" max="28" width="7.8515625" style="1" customWidth="1"/>
    <col min="29" max="29" width="9.7109375" style="1" customWidth="1"/>
    <col min="30" max="30" width="5.140625" style="1" customWidth="1"/>
    <col min="31" max="16384" width="9.140625" style="1" customWidth="1"/>
  </cols>
  <sheetData>
    <row r="1" spans="1:9" ht="15">
      <c r="A1" s="101" t="s">
        <v>11</v>
      </c>
      <c r="B1" s="101"/>
      <c r="C1" s="102"/>
      <c r="D1" s="103" t="s">
        <v>51</v>
      </c>
      <c r="E1" s="103"/>
      <c r="F1" s="103"/>
      <c r="G1" s="103"/>
      <c r="H1" s="103"/>
      <c r="I1" s="13"/>
    </row>
    <row r="2" spans="1:24" ht="19.5">
      <c r="A2" s="101" t="s">
        <v>10</v>
      </c>
      <c r="B2" s="101"/>
      <c r="C2" s="102"/>
      <c r="D2" s="55" t="s">
        <v>52</v>
      </c>
      <c r="E2" s="15"/>
      <c r="F2" s="15"/>
      <c r="G2" s="15"/>
      <c r="H2" s="15"/>
      <c r="I2" s="13"/>
      <c r="N2" s="104" t="s">
        <v>22</v>
      </c>
      <c r="O2" s="104"/>
      <c r="P2" s="104"/>
      <c r="W2" s="44"/>
      <c r="X2" s="44"/>
    </row>
    <row r="3" spans="1:32" ht="16.5" customHeight="1">
      <c r="A3" s="101" t="s">
        <v>15</v>
      </c>
      <c r="B3" s="101"/>
      <c r="C3" s="102"/>
      <c r="D3" s="17" t="s">
        <v>49</v>
      </c>
      <c r="E3" s="17"/>
      <c r="F3" s="14"/>
      <c r="G3" s="14"/>
      <c r="H3" s="14"/>
      <c r="I3" s="13"/>
      <c r="N3" s="29"/>
      <c r="O3" s="28"/>
      <c r="P3" s="107"/>
      <c r="Q3" s="105" t="s">
        <v>19</v>
      </c>
      <c r="R3" s="105"/>
      <c r="T3" s="59" t="s">
        <v>26</v>
      </c>
      <c r="U3" s="59" t="s">
        <v>45</v>
      </c>
      <c r="V3" s="59" t="s">
        <v>40</v>
      </c>
      <c r="W3" s="45"/>
      <c r="X3" s="57">
        <f aca="true" t="shared" si="0" ref="X3:AC3">PERCENTILE(X8:X144,0.9)</f>
        <v>237.91705000000002</v>
      </c>
      <c r="Y3" s="58">
        <f t="shared" si="0"/>
        <v>1299.7649600000002</v>
      </c>
      <c r="Z3" s="58">
        <f t="shared" si="0"/>
        <v>324.48932000000036</v>
      </c>
      <c r="AA3" s="58">
        <f t="shared" si="0"/>
        <v>40.98699200000001</v>
      </c>
      <c r="AB3" s="58">
        <f t="shared" si="0"/>
        <v>14.940798000000001</v>
      </c>
      <c r="AC3" s="58">
        <f t="shared" si="0"/>
        <v>3.307086</v>
      </c>
      <c r="AD3" s="50" t="s">
        <v>32</v>
      </c>
      <c r="AE3" s="51"/>
      <c r="AF3" s="51"/>
    </row>
    <row r="4" spans="1:32" ht="16.5">
      <c r="A4" s="101" t="s">
        <v>12</v>
      </c>
      <c r="B4" s="101"/>
      <c r="C4" s="102"/>
      <c r="D4" s="17" t="s">
        <v>53</v>
      </c>
      <c r="E4" s="16"/>
      <c r="F4" s="14"/>
      <c r="G4" s="14"/>
      <c r="H4" s="14"/>
      <c r="I4" s="13"/>
      <c r="N4" s="30"/>
      <c r="O4" s="30"/>
      <c r="P4" s="108"/>
      <c r="Q4" s="106" t="s">
        <v>54</v>
      </c>
      <c r="R4" s="106"/>
      <c r="T4" s="67">
        <f>DATE(2003,6,1)</f>
        <v>37773</v>
      </c>
      <c r="U4" s="67" t="s">
        <v>46</v>
      </c>
      <c r="V4" s="61">
        <f>DATE(1985,1,1)</f>
        <v>31048</v>
      </c>
      <c r="W4" s="45"/>
      <c r="X4" s="57">
        <f aca="true" t="shared" si="1" ref="X4:AC4">MEDIAN(X8:X144)</f>
        <v>17.38278</v>
      </c>
      <c r="Y4" s="58">
        <f t="shared" si="1"/>
        <v>603.7974</v>
      </c>
      <c r="Z4" s="58">
        <f t="shared" si="1"/>
        <v>84.14320000000001</v>
      </c>
      <c r="AA4" s="58">
        <f t="shared" si="1"/>
        <v>16.688760000000002</v>
      </c>
      <c r="AB4" s="58">
        <f t="shared" si="1"/>
        <v>6.147995</v>
      </c>
      <c r="AC4" s="63">
        <f t="shared" si="1"/>
        <v>2.59047</v>
      </c>
      <c r="AD4" s="50" t="s">
        <v>33</v>
      </c>
      <c r="AE4" s="51"/>
      <c r="AF4" s="51"/>
    </row>
    <row r="5" spans="1:32" ht="16.5">
      <c r="A5" s="101" t="s">
        <v>13</v>
      </c>
      <c r="B5" s="101"/>
      <c r="C5" s="102"/>
      <c r="D5" s="76">
        <f>Area</f>
        <v>621</v>
      </c>
      <c r="E5" s="16"/>
      <c r="F5" s="14"/>
      <c r="G5" s="14"/>
      <c r="H5" s="14"/>
      <c r="I5" s="13"/>
      <c r="N5" s="29"/>
      <c r="O5" s="29"/>
      <c r="P5" s="53"/>
      <c r="Q5" s="31" t="s">
        <v>23</v>
      </c>
      <c r="R5" s="23"/>
      <c r="S5" s="23"/>
      <c r="T5" s="60" t="s">
        <v>25</v>
      </c>
      <c r="U5" s="75">
        <v>0.5</v>
      </c>
      <c r="V5" s="60" t="s">
        <v>25</v>
      </c>
      <c r="W5" s="45"/>
      <c r="X5" s="84">
        <f aca="true" t="shared" si="2" ref="X5:AC5">COUNT(X8:X144)</f>
        <v>131</v>
      </c>
      <c r="Y5" s="85">
        <f t="shared" si="2"/>
        <v>7</v>
      </c>
      <c r="Z5" s="85">
        <f t="shared" si="2"/>
        <v>43</v>
      </c>
      <c r="AA5" s="85">
        <f t="shared" si="2"/>
        <v>30</v>
      </c>
      <c r="AB5" s="85">
        <f t="shared" si="2"/>
        <v>50</v>
      </c>
      <c r="AC5" s="85">
        <f t="shared" si="2"/>
        <v>2</v>
      </c>
      <c r="AD5" s="50" t="s">
        <v>55</v>
      </c>
      <c r="AE5" s="51"/>
      <c r="AF5" s="51"/>
    </row>
    <row r="6" spans="1:24" ht="16.5">
      <c r="A6" s="19"/>
      <c r="B6" s="19"/>
      <c r="C6" s="20"/>
      <c r="D6" s="15"/>
      <c r="E6" s="15"/>
      <c r="F6" s="15"/>
      <c r="G6" s="15"/>
      <c r="H6" s="18"/>
      <c r="I6" s="13"/>
      <c r="N6" s="30"/>
      <c r="O6" s="30"/>
      <c r="P6" s="25"/>
      <c r="Q6" s="31">
        <f>Area</f>
        <v>621</v>
      </c>
      <c r="R6" s="31" t="s">
        <v>24</v>
      </c>
      <c r="S6" s="23"/>
      <c r="T6" s="67">
        <f>DATE(2003,10,1)</f>
        <v>37895</v>
      </c>
      <c r="U6" s="69">
        <v>0.1</v>
      </c>
      <c r="V6" s="61">
        <f>DATE(2003,12,31)</f>
        <v>37986</v>
      </c>
      <c r="W6" s="46"/>
      <c r="X6" s="46"/>
    </row>
    <row r="7" spans="1:29" ht="51.75" customHeight="1">
      <c r="A7" s="5" t="s">
        <v>0</v>
      </c>
      <c r="B7" s="5" t="s">
        <v>14</v>
      </c>
      <c r="C7" s="6" t="s">
        <v>1</v>
      </c>
      <c r="D7" s="9" t="s">
        <v>2</v>
      </c>
      <c r="E7" s="9" t="s">
        <v>3</v>
      </c>
      <c r="F7" s="5" t="s">
        <v>16</v>
      </c>
      <c r="G7" s="5" t="s">
        <v>35</v>
      </c>
      <c r="H7" s="5" t="s">
        <v>38</v>
      </c>
      <c r="I7" s="5" t="s">
        <v>37</v>
      </c>
      <c r="J7" s="26" t="s">
        <v>5</v>
      </c>
      <c r="K7" s="26" t="s">
        <v>36</v>
      </c>
      <c r="L7" s="26" t="s">
        <v>39</v>
      </c>
      <c r="M7" s="27" t="s">
        <v>4</v>
      </c>
      <c r="N7" s="71" t="s">
        <v>20</v>
      </c>
      <c r="O7" s="72" t="s">
        <v>21</v>
      </c>
      <c r="P7" s="73" t="s">
        <v>47</v>
      </c>
      <c r="Q7" s="74" t="s">
        <v>18</v>
      </c>
      <c r="R7" s="74" t="s">
        <v>17</v>
      </c>
      <c r="S7" s="74" t="s">
        <v>34</v>
      </c>
      <c r="T7" s="70" t="s">
        <v>41</v>
      </c>
      <c r="U7" s="70" t="s">
        <v>41</v>
      </c>
      <c r="V7" s="70" t="s">
        <v>41</v>
      </c>
      <c r="W7" s="48" t="s">
        <v>3</v>
      </c>
      <c r="X7" s="49" t="s">
        <v>28</v>
      </c>
      <c r="Y7" s="43" t="s">
        <v>27</v>
      </c>
      <c r="Z7" s="43" t="s">
        <v>29</v>
      </c>
      <c r="AA7" s="43" t="s">
        <v>42</v>
      </c>
      <c r="AB7" s="43" t="s">
        <v>30</v>
      </c>
      <c r="AC7" s="43" t="s">
        <v>31</v>
      </c>
    </row>
    <row r="8" spans="1:32" s="3" customFormat="1" ht="14.25">
      <c r="A8" s="77">
        <v>33246</v>
      </c>
      <c r="B8" s="78">
        <v>0.5208333333333334</v>
      </c>
      <c r="C8" s="37">
        <v>540</v>
      </c>
      <c r="D8" s="21">
        <v>0.245</v>
      </c>
      <c r="E8" s="12">
        <f>IF(D8="","",100*D8)</f>
        <v>24.5</v>
      </c>
      <c r="F8" s="10">
        <v>34</v>
      </c>
      <c r="G8" s="79">
        <v>200</v>
      </c>
      <c r="H8" s="80">
        <v>3</v>
      </c>
      <c r="I8" s="81">
        <v>0.05</v>
      </c>
      <c r="J8" s="8">
        <f>IF(OR($C8="",F8=""),"",($C8*F8*(5.38/2000)))</f>
        <v>49.388400000000004</v>
      </c>
      <c r="K8" s="7">
        <f>IF(OR($C8="",G8=""),"",($C8*G8*((28317/100)*60*60*24)))</f>
        <v>2642315904000</v>
      </c>
      <c r="L8" s="8">
        <f>IF(OR($C8="",H8=""),"",($C8*H8*5.38))</f>
        <v>8715.6</v>
      </c>
      <c r="M8" s="8">
        <f>IF(OR($C8="",I8=""),"",($C8*I8*5.38))</f>
        <v>145.26</v>
      </c>
      <c r="N8" s="109">
        <f>IF(J8="","",J8)</f>
        <v>49.388400000000004</v>
      </c>
      <c r="O8" s="109">
        <f>IF(OR(J8="",T8=""),"",J8)</f>
      </c>
      <c r="P8" s="109">
        <f>IF(OR(J8="",U8=""),"",J8)</f>
      </c>
      <c r="Q8" s="24">
        <f>IF(R8&gt;0,R8*((Q$6*(5280^2))/(3.2808^2))/(1000*(60*60*24)/(3.2808^3)),"")</f>
      </c>
      <c r="R8" s="22">
        <v>-0.48677080115942023</v>
      </c>
      <c r="S8" s="52">
        <v>0.4444444444444444</v>
      </c>
      <c r="T8" s="69">
        <f>IF(OR(MONTH($A8)&lt;MONTH(T$4),MONTH($A8)&gt;MONTH(T$6)),"","***")</f>
      </c>
      <c r="U8" s="68">
        <f>IF(AND($R8&lt;U$6,$S8&lt;U$5),"","***")</f>
      </c>
      <c r="V8" s="62" t="str">
        <f aca="true" t="shared" si="3" ref="V8:V39">IF(OR(A8="",YEAR(A8)&lt;YEAR(V$4),YEAR(A8)&gt;YEAR(V$6)),"","***")</f>
        <v>***</v>
      </c>
      <c r="W8" s="47">
        <f>IF(E8="","",E8)</f>
        <v>24.5</v>
      </c>
      <c r="X8" s="47">
        <f>IF(V8="","",J8)</f>
        <v>49.388400000000004</v>
      </c>
      <c r="Y8" s="56">
        <f aca="true" t="shared" si="4" ref="Y8:Y71">IF(OR($X8="",$W8="",$W8&lt;0,$W8&gt;10),"",$X8)</f>
      </c>
      <c r="Z8" s="56">
        <f aca="true" t="shared" si="5" ref="Z8:Z71">IF(OR($X8="",$W8="",$W8&lt;10,$W8&gt;40),"",$X8)</f>
        <v>49.388400000000004</v>
      </c>
      <c r="AA8" s="56">
        <f aca="true" t="shared" si="6" ref="AA8:AA71">IF(OR($X8="",$W8="",$W8&lt;40,$W8&gt;60),"",$X8)</f>
      </c>
      <c r="AB8" s="56">
        <f aca="true" t="shared" si="7" ref="AB8:AB71">IF(OR($X8="",$W8="",$W8&lt;60,$W8&gt;90),"",$X8)</f>
      </c>
      <c r="AC8" s="56">
        <f aca="true" t="shared" si="8" ref="AC8:AC71">IF(OR($X8="",$W8="",$W8&lt;90,$W8&gt;100),"",$X8)</f>
      </c>
      <c r="AE8" s="64">
        <f>Y$3</f>
        <v>1299.7649600000002</v>
      </c>
      <c r="AF8" s="64">
        <f>Y$4</f>
        <v>603.7974</v>
      </c>
    </row>
    <row r="9" spans="1:32" ht="15">
      <c r="A9" s="82">
        <v>33275</v>
      </c>
      <c r="B9" s="83">
        <v>0.5625</v>
      </c>
      <c r="C9" s="37">
        <v>1800</v>
      </c>
      <c r="D9" s="21">
        <v>0.08099999999999996</v>
      </c>
      <c r="E9" s="12">
        <f aca="true" t="shared" si="9" ref="E9:E72">IF(D9="","",100*D9)</f>
        <v>8.099999999999996</v>
      </c>
      <c r="F9" s="10">
        <v>112</v>
      </c>
      <c r="G9" s="10">
        <v>1200</v>
      </c>
      <c r="H9" s="80">
        <v>4.2</v>
      </c>
      <c r="I9" s="54">
        <v>0.21</v>
      </c>
      <c r="J9" s="8">
        <f aca="true" t="shared" si="10" ref="J9:J72">IF(OR($C9="",F9=""),"",($C9*F9*(5.38/2000)))</f>
        <v>542.304</v>
      </c>
      <c r="K9" s="7">
        <f aca="true" t="shared" si="11" ref="K9:K72">IF(OR($C9="",G9=""),"",($C9*G9*((28317/100)*60*60*24)))</f>
        <v>52846318080000</v>
      </c>
      <c r="L9" s="8">
        <f aca="true" t="shared" si="12" ref="L9:L72">IF(OR($C9="",H9=""),"",($C9*H9*5.38))</f>
        <v>40672.799999999996</v>
      </c>
      <c r="M9" s="8">
        <f aca="true" t="shared" si="13" ref="M9:M72">IF(OR($C9="",I9=""),"",($C9*I9*5.38))</f>
        <v>2033.6399999999999</v>
      </c>
      <c r="N9" s="109">
        <f aca="true" t="shared" si="14" ref="N9:N72">IF(J9="","",J9)</f>
        <v>542.304</v>
      </c>
      <c r="O9" s="109">
        <f aca="true" t="shared" si="15" ref="O9:O72">IF(OR(J9="",T9=""),"",J9)</f>
      </c>
      <c r="P9" s="109">
        <f aca="true" t="shared" si="16" ref="P9:P72">IF(OR(J9="",U9=""),"",J9)</f>
        <v>542.304</v>
      </c>
      <c r="Q9" s="24">
        <f aca="true" t="shared" si="17" ref="Q9:Q72">IF(R9&gt;0,R9*((Q$6*(5280^2))/(3.2808^2))/(1000*(60*60*24)/(3.2808^3)),"")</f>
        <v>300.00000000288384</v>
      </c>
      <c r="R9" s="22">
        <v>0.4563476260869565</v>
      </c>
      <c r="S9" s="52">
        <v>0.8333333333333334</v>
      </c>
      <c r="T9" s="69">
        <f aca="true" t="shared" si="18" ref="T9:T72">IF(OR(MONTH($A9)&lt;MONTH(T$4),MONTH($A9)&gt;MONTH(T$6)),"","***")</f>
      </c>
      <c r="U9" s="68" t="str">
        <f aca="true" t="shared" si="19" ref="U9:U72">IF(AND($R9&lt;U$6,$S9&lt;U$5),"","***")</f>
        <v>***</v>
      </c>
      <c r="V9" s="62" t="str">
        <f t="shared" si="3"/>
        <v>***</v>
      </c>
      <c r="W9" s="47">
        <f aca="true" t="shared" si="20" ref="W9:W72">IF(E9="","",E9)</f>
        <v>8.099999999999996</v>
      </c>
      <c r="X9" s="47">
        <f aca="true" t="shared" si="21" ref="X9:X72">IF(V9="","",J9)</f>
        <v>542.304</v>
      </c>
      <c r="Y9" s="56">
        <f t="shared" si="4"/>
        <v>542.304</v>
      </c>
      <c r="Z9" s="56">
        <f t="shared" si="5"/>
      </c>
      <c r="AA9" s="56">
        <f t="shared" si="6"/>
      </c>
      <c r="AB9" s="56">
        <f t="shared" si="7"/>
      </c>
      <c r="AC9" s="56">
        <f t="shared" si="8"/>
      </c>
      <c r="AE9" s="64">
        <f>Y$3</f>
        <v>1299.7649600000002</v>
      </c>
      <c r="AF9" s="64">
        <f>Y$4</f>
        <v>603.7974</v>
      </c>
    </row>
    <row r="10" spans="1:32" ht="15">
      <c r="A10" s="82">
        <v>33308</v>
      </c>
      <c r="B10" s="83">
        <v>0.6875</v>
      </c>
      <c r="C10" s="37">
        <v>134</v>
      </c>
      <c r="D10" s="21">
        <v>0.497</v>
      </c>
      <c r="E10" s="12">
        <f t="shared" si="9"/>
        <v>49.7</v>
      </c>
      <c r="F10" s="10">
        <v>17</v>
      </c>
      <c r="G10" s="10">
        <v>20</v>
      </c>
      <c r="H10" s="80">
        <v>2.5</v>
      </c>
      <c r="I10" s="54">
        <v>0.09</v>
      </c>
      <c r="J10" s="8">
        <f t="shared" si="10"/>
        <v>6.12782</v>
      </c>
      <c r="K10" s="7">
        <f t="shared" si="11"/>
        <v>65568579840</v>
      </c>
      <c r="L10" s="8">
        <f t="shared" si="12"/>
        <v>1802.3</v>
      </c>
      <c r="M10" s="8">
        <f t="shared" si="13"/>
        <v>64.88279999999999</v>
      </c>
      <c r="N10" s="109">
        <f t="shared" si="14"/>
        <v>6.12782</v>
      </c>
      <c r="O10" s="109">
        <f t="shared" si="15"/>
      </c>
      <c r="P10" s="109">
        <f t="shared" si="16"/>
      </c>
      <c r="Q10" s="24">
        <f t="shared" si="17"/>
      </c>
      <c r="R10" s="22">
        <v>-0.013690428782608696</v>
      </c>
      <c r="S10" s="52">
        <v>0.09701492537313433</v>
      </c>
      <c r="T10" s="69">
        <f t="shared" si="18"/>
      </c>
      <c r="U10" s="68">
        <f t="shared" si="19"/>
      </c>
      <c r="V10" s="62" t="str">
        <f t="shared" si="3"/>
        <v>***</v>
      </c>
      <c r="W10" s="47">
        <f t="shared" si="20"/>
        <v>49.7</v>
      </c>
      <c r="X10" s="47">
        <f t="shared" si="21"/>
        <v>6.12782</v>
      </c>
      <c r="Y10" s="56">
        <f t="shared" si="4"/>
      </c>
      <c r="Z10" s="56">
        <f t="shared" si="5"/>
      </c>
      <c r="AA10" s="56">
        <f t="shared" si="6"/>
        <v>6.12782</v>
      </c>
      <c r="AB10" s="56">
        <f t="shared" si="7"/>
      </c>
      <c r="AC10" s="56">
        <f t="shared" si="8"/>
      </c>
      <c r="AE10" s="64">
        <f>Z$3</f>
        <v>324.48932000000036</v>
      </c>
      <c r="AF10" s="64">
        <f>Z$4</f>
        <v>84.14320000000001</v>
      </c>
    </row>
    <row r="11" spans="1:32" ht="15">
      <c r="A11" s="82">
        <v>33330</v>
      </c>
      <c r="B11" s="83">
        <v>0.7013888888888888</v>
      </c>
      <c r="C11" s="37">
        <v>389</v>
      </c>
      <c r="D11" s="21">
        <v>0.29800000000000004</v>
      </c>
      <c r="E11" s="12">
        <f t="shared" si="9"/>
        <v>29.800000000000004</v>
      </c>
      <c r="F11" s="10">
        <v>54</v>
      </c>
      <c r="G11" s="10">
        <v>180</v>
      </c>
      <c r="H11" s="80">
        <v>3</v>
      </c>
      <c r="I11" s="54">
        <v>0.14</v>
      </c>
      <c r="J11" s="8">
        <f t="shared" si="10"/>
        <v>56.50614</v>
      </c>
      <c r="K11" s="7">
        <f t="shared" si="11"/>
        <v>1713101477760</v>
      </c>
      <c r="L11" s="8">
        <f t="shared" si="12"/>
        <v>6278.46</v>
      </c>
      <c r="M11" s="8">
        <f t="shared" si="13"/>
        <v>292.99480000000005</v>
      </c>
      <c r="N11" s="109">
        <f t="shared" si="14"/>
        <v>56.50614</v>
      </c>
      <c r="O11" s="109">
        <f t="shared" si="15"/>
      </c>
      <c r="P11" s="109">
        <f t="shared" si="16"/>
      </c>
      <c r="Q11" s="24">
        <f t="shared" si="17"/>
      </c>
      <c r="R11" s="22">
        <v>-0.26011814686956525</v>
      </c>
      <c r="S11" s="52">
        <v>0.37017994858611825</v>
      </c>
      <c r="T11" s="69">
        <f t="shared" si="18"/>
      </c>
      <c r="U11" s="68">
        <f t="shared" si="19"/>
      </c>
      <c r="V11" s="62" t="str">
        <f t="shared" si="3"/>
        <v>***</v>
      </c>
      <c r="W11" s="47">
        <f t="shared" si="20"/>
        <v>29.800000000000004</v>
      </c>
      <c r="X11" s="47">
        <f t="shared" si="21"/>
        <v>56.50614</v>
      </c>
      <c r="Y11" s="56">
        <f t="shared" si="4"/>
      </c>
      <c r="Z11" s="56">
        <f t="shared" si="5"/>
        <v>56.50614</v>
      </c>
      <c r="AA11" s="56">
        <f t="shared" si="6"/>
      </c>
      <c r="AB11" s="56">
        <f t="shared" si="7"/>
      </c>
      <c r="AC11" s="56">
        <f t="shared" si="8"/>
      </c>
      <c r="AE11" s="64">
        <f>Z$3</f>
        <v>324.48932000000036</v>
      </c>
      <c r="AF11" s="64">
        <f>Z$4</f>
        <v>84.14320000000001</v>
      </c>
    </row>
    <row r="12" spans="1:32" ht="15">
      <c r="A12" s="82">
        <v>33388</v>
      </c>
      <c r="B12" s="83">
        <v>0.4791666666666667</v>
      </c>
      <c r="C12" s="37">
        <v>171</v>
      </c>
      <c r="D12" s="21">
        <v>0.44599999999999995</v>
      </c>
      <c r="E12" s="12">
        <f t="shared" si="9"/>
        <v>44.599999999999994</v>
      </c>
      <c r="F12" s="10">
        <v>142</v>
      </c>
      <c r="G12" s="10">
        <v>1300</v>
      </c>
      <c r="H12" s="80">
        <v>7.2</v>
      </c>
      <c r="I12" s="54">
        <v>0.31</v>
      </c>
      <c r="J12" s="8">
        <f t="shared" si="10"/>
        <v>65.31858</v>
      </c>
      <c r="K12" s="7">
        <f t="shared" si="11"/>
        <v>5438766902400</v>
      </c>
      <c r="L12" s="8">
        <f t="shared" si="12"/>
        <v>6623.856</v>
      </c>
      <c r="M12" s="8">
        <f t="shared" si="13"/>
        <v>285.1938</v>
      </c>
      <c r="N12" s="109">
        <f t="shared" si="14"/>
        <v>65.31858</v>
      </c>
      <c r="O12" s="109">
        <f t="shared" si="15"/>
      </c>
      <c r="P12" s="109">
        <f t="shared" si="16"/>
      </c>
      <c r="Q12" s="24">
        <f t="shared" si="17"/>
        <v>32.00000000030761</v>
      </c>
      <c r="R12" s="22">
        <v>0.048677080115942024</v>
      </c>
      <c r="S12" s="52">
        <v>0.4444444444444444</v>
      </c>
      <c r="T12" s="69">
        <f t="shared" si="18"/>
      </c>
      <c r="U12" s="68">
        <f t="shared" si="19"/>
      </c>
      <c r="V12" s="62" t="str">
        <f t="shared" si="3"/>
        <v>***</v>
      </c>
      <c r="W12" s="47">
        <f t="shared" si="20"/>
        <v>44.599999999999994</v>
      </c>
      <c r="X12" s="47">
        <f t="shared" si="21"/>
        <v>65.31858</v>
      </c>
      <c r="Y12" s="56">
        <f t="shared" si="4"/>
      </c>
      <c r="Z12" s="56">
        <f t="shared" si="5"/>
      </c>
      <c r="AA12" s="56">
        <f t="shared" si="6"/>
        <v>65.31858</v>
      </c>
      <c r="AB12" s="56">
        <f t="shared" si="7"/>
      </c>
      <c r="AC12" s="56">
        <f t="shared" si="8"/>
      </c>
      <c r="AE12" s="64">
        <f>AA$3</f>
        <v>40.98699200000001</v>
      </c>
      <c r="AF12" s="64">
        <f>AA$4</f>
        <v>16.688760000000002</v>
      </c>
    </row>
    <row r="13" spans="1:32" ht="15">
      <c r="A13" s="82">
        <v>33408</v>
      </c>
      <c r="B13" s="83">
        <v>0.5520833333333334</v>
      </c>
      <c r="C13" s="37">
        <v>66</v>
      </c>
      <c r="D13" s="21">
        <v>0.653</v>
      </c>
      <c r="E13" s="12">
        <f t="shared" si="9"/>
        <v>65.3</v>
      </c>
      <c r="F13" s="10">
        <v>11</v>
      </c>
      <c r="G13" s="10">
        <v>80</v>
      </c>
      <c r="H13" s="80">
        <v>1.6</v>
      </c>
      <c r="I13" s="54">
        <v>0.28</v>
      </c>
      <c r="J13" s="8">
        <f t="shared" si="10"/>
        <v>1.9529400000000001</v>
      </c>
      <c r="K13" s="7">
        <f t="shared" si="11"/>
        <v>129179888640</v>
      </c>
      <c r="L13" s="8">
        <f t="shared" si="12"/>
        <v>568.128</v>
      </c>
      <c r="M13" s="8">
        <f t="shared" si="13"/>
        <v>99.4224</v>
      </c>
      <c r="N13" s="109">
        <f t="shared" si="14"/>
        <v>1.9529400000000001</v>
      </c>
      <c r="O13" s="109">
        <f t="shared" si="15"/>
        <v>1.9529400000000001</v>
      </c>
      <c r="P13" s="109">
        <f t="shared" si="16"/>
      </c>
      <c r="Q13" s="24">
        <f t="shared" si="17"/>
      </c>
      <c r="R13" s="22">
        <v>-0.01977506379710145</v>
      </c>
      <c r="S13" s="52">
        <v>0.30303030303030304</v>
      </c>
      <c r="T13" s="69" t="str">
        <f t="shared" si="18"/>
        <v>***</v>
      </c>
      <c r="U13" s="68">
        <f t="shared" si="19"/>
      </c>
      <c r="V13" s="62" t="str">
        <f t="shared" si="3"/>
        <v>***</v>
      </c>
      <c r="W13" s="47">
        <f t="shared" si="20"/>
        <v>65.3</v>
      </c>
      <c r="X13" s="47">
        <f t="shared" si="21"/>
        <v>1.9529400000000001</v>
      </c>
      <c r="Y13" s="56">
        <f t="shared" si="4"/>
      </c>
      <c r="Z13" s="56">
        <f t="shared" si="5"/>
      </c>
      <c r="AA13" s="56">
        <f t="shared" si="6"/>
      </c>
      <c r="AB13" s="56">
        <f t="shared" si="7"/>
        <v>1.9529400000000001</v>
      </c>
      <c r="AC13" s="56">
        <f t="shared" si="8"/>
      </c>
      <c r="AE13" s="64">
        <f>AA$3</f>
        <v>40.98699200000001</v>
      </c>
      <c r="AF13" s="64">
        <f>AA$4</f>
        <v>16.688760000000002</v>
      </c>
    </row>
    <row r="14" spans="1:32" ht="15">
      <c r="A14" s="82">
        <v>33436</v>
      </c>
      <c r="B14" s="83">
        <v>0.5659722222222222</v>
      </c>
      <c r="C14" s="37">
        <v>30</v>
      </c>
      <c r="D14" s="21">
        <v>0.838</v>
      </c>
      <c r="E14" s="12">
        <f t="shared" si="9"/>
        <v>83.8</v>
      </c>
      <c r="F14" s="10">
        <v>92</v>
      </c>
      <c r="G14" s="10">
        <v>4700</v>
      </c>
      <c r="H14" s="80">
        <v>0.1</v>
      </c>
      <c r="I14" s="54">
        <v>0.32</v>
      </c>
      <c r="J14" s="8">
        <f t="shared" si="10"/>
        <v>7.4244</v>
      </c>
      <c r="K14" s="7">
        <f t="shared" si="11"/>
        <v>3449690208000</v>
      </c>
      <c r="L14" s="8">
        <f t="shared" si="12"/>
        <v>16.14</v>
      </c>
      <c r="M14" s="8">
        <f t="shared" si="13"/>
        <v>51.647999999999996</v>
      </c>
      <c r="N14" s="109">
        <f t="shared" si="14"/>
        <v>7.4244</v>
      </c>
      <c r="O14" s="109">
        <f t="shared" si="15"/>
        <v>7.4244</v>
      </c>
      <c r="P14" s="109">
        <f t="shared" si="16"/>
      </c>
      <c r="Q14" s="24">
        <f t="shared" si="17"/>
      </c>
      <c r="R14" s="22">
        <v>-0.0015211587536231883</v>
      </c>
      <c r="S14" s="52">
        <v>0.13333333333333333</v>
      </c>
      <c r="T14" s="69" t="str">
        <f t="shared" si="18"/>
        <v>***</v>
      </c>
      <c r="U14" s="68">
        <f t="shared" si="19"/>
      </c>
      <c r="V14" s="62" t="str">
        <f t="shared" si="3"/>
        <v>***</v>
      </c>
      <c r="W14" s="47">
        <f t="shared" si="20"/>
        <v>83.8</v>
      </c>
      <c r="X14" s="47">
        <f t="shared" si="21"/>
        <v>7.4244</v>
      </c>
      <c r="Y14" s="56">
        <f t="shared" si="4"/>
      </c>
      <c r="Z14" s="56">
        <f t="shared" si="5"/>
      </c>
      <c r="AA14" s="56">
        <f t="shared" si="6"/>
      </c>
      <c r="AB14" s="56">
        <f t="shared" si="7"/>
        <v>7.4244</v>
      </c>
      <c r="AC14" s="56">
        <f t="shared" si="8"/>
      </c>
      <c r="AE14" s="64">
        <f>AB$3</f>
        <v>14.940798000000001</v>
      </c>
      <c r="AF14" s="64">
        <f>AB$4</f>
        <v>6.147995</v>
      </c>
    </row>
    <row r="15" spans="1:32" ht="15">
      <c r="A15" s="82">
        <v>33470</v>
      </c>
      <c r="B15" s="83">
        <v>0.5833333333333334</v>
      </c>
      <c r="C15" s="37">
        <v>83</v>
      </c>
      <c r="D15" s="21">
        <v>0.601</v>
      </c>
      <c r="E15" s="12">
        <f t="shared" si="9"/>
        <v>60.099999999999994</v>
      </c>
      <c r="F15" s="10">
        <v>145</v>
      </c>
      <c r="G15" s="10">
        <v>2400</v>
      </c>
      <c r="H15" s="80">
        <v>2.8</v>
      </c>
      <c r="I15" s="54">
        <v>0.4</v>
      </c>
      <c r="J15" s="8">
        <f t="shared" si="10"/>
        <v>32.37415</v>
      </c>
      <c r="K15" s="7">
        <f t="shared" si="11"/>
        <v>4873604889600</v>
      </c>
      <c r="L15" s="8">
        <f t="shared" si="12"/>
        <v>1250.312</v>
      </c>
      <c r="M15" s="8">
        <f t="shared" si="13"/>
        <v>178.616</v>
      </c>
      <c r="N15" s="109">
        <f t="shared" si="14"/>
        <v>32.37415</v>
      </c>
      <c r="O15" s="109">
        <f t="shared" si="15"/>
        <v>32.37415</v>
      </c>
      <c r="P15" s="109">
        <f t="shared" si="16"/>
        <v>32.37415</v>
      </c>
      <c r="Q15" s="24">
        <f t="shared" si="17"/>
        <v>1.0000000000096128</v>
      </c>
      <c r="R15" s="22">
        <v>0.0015211587536231883</v>
      </c>
      <c r="S15" s="52">
        <v>0.6746987951807228</v>
      </c>
      <c r="T15" s="69" t="str">
        <f t="shared" si="18"/>
        <v>***</v>
      </c>
      <c r="U15" s="68" t="str">
        <f t="shared" si="19"/>
        <v>***</v>
      </c>
      <c r="V15" s="62" t="str">
        <f t="shared" si="3"/>
        <v>***</v>
      </c>
      <c r="W15" s="47">
        <f t="shared" si="20"/>
        <v>60.099999999999994</v>
      </c>
      <c r="X15" s="47">
        <f t="shared" si="21"/>
        <v>32.37415</v>
      </c>
      <c r="Y15" s="56">
        <f t="shared" si="4"/>
      </c>
      <c r="Z15" s="56">
        <f t="shared" si="5"/>
      </c>
      <c r="AA15" s="56">
        <f t="shared" si="6"/>
      </c>
      <c r="AB15" s="56">
        <f t="shared" si="7"/>
        <v>32.37415</v>
      </c>
      <c r="AC15" s="56">
        <f t="shared" si="8"/>
      </c>
      <c r="AE15" s="64">
        <f>AB$3</f>
        <v>14.940798000000001</v>
      </c>
      <c r="AF15" s="64">
        <f>AB$4</f>
        <v>6.147995</v>
      </c>
    </row>
    <row r="16" spans="1:32" ht="15">
      <c r="A16" s="82">
        <v>33498</v>
      </c>
      <c r="B16" s="83">
        <v>0.611111111111111</v>
      </c>
      <c r="C16" s="37">
        <v>34</v>
      </c>
      <c r="D16" s="21">
        <v>0.806</v>
      </c>
      <c r="E16" s="12">
        <f t="shared" si="9"/>
        <v>80.60000000000001</v>
      </c>
      <c r="F16" s="10">
        <v>162</v>
      </c>
      <c r="G16" s="10">
        <v>2000</v>
      </c>
      <c r="H16" s="80">
        <v>0.2</v>
      </c>
      <c r="I16" s="54">
        <v>0.38</v>
      </c>
      <c r="J16" s="8">
        <f t="shared" si="10"/>
        <v>14.81652</v>
      </c>
      <c r="K16" s="7">
        <f t="shared" si="11"/>
        <v>1663680384000</v>
      </c>
      <c r="L16" s="8">
        <f t="shared" si="12"/>
        <v>36.584</v>
      </c>
      <c r="M16" s="8">
        <f t="shared" si="13"/>
        <v>69.50959999999999</v>
      </c>
      <c r="N16" s="109">
        <f t="shared" si="14"/>
        <v>14.81652</v>
      </c>
      <c r="O16" s="109">
        <f t="shared" si="15"/>
        <v>14.81652</v>
      </c>
      <c r="P16" s="109">
        <f t="shared" si="16"/>
      </c>
      <c r="Q16" s="24">
        <f t="shared" si="17"/>
        <v>1.0000000000096128</v>
      </c>
      <c r="R16" s="22">
        <v>0.0015211587536231883</v>
      </c>
      <c r="S16" s="52">
        <v>0.23529411764705882</v>
      </c>
      <c r="T16" s="69" t="str">
        <f t="shared" si="18"/>
        <v>***</v>
      </c>
      <c r="U16" s="68">
        <f t="shared" si="19"/>
      </c>
      <c r="V16" s="62" t="str">
        <f t="shared" si="3"/>
        <v>***</v>
      </c>
      <c r="W16" s="47">
        <f t="shared" si="20"/>
        <v>80.60000000000001</v>
      </c>
      <c r="X16" s="47">
        <f t="shared" si="21"/>
        <v>14.81652</v>
      </c>
      <c r="Y16" s="56">
        <f t="shared" si="4"/>
      </c>
      <c r="Z16" s="56">
        <f t="shared" si="5"/>
      </c>
      <c r="AA16" s="56">
        <f t="shared" si="6"/>
      </c>
      <c r="AB16" s="56">
        <f t="shared" si="7"/>
        <v>14.81652</v>
      </c>
      <c r="AC16" s="56">
        <f t="shared" si="8"/>
      </c>
      <c r="AE16" s="64">
        <f>AC$3</f>
        <v>3.307086</v>
      </c>
      <c r="AF16" s="64">
        <f>AC$4</f>
        <v>2.59047</v>
      </c>
    </row>
    <row r="17" spans="1:32" ht="15">
      <c r="A17" s="82">
        <v>33519</v>
      </c>
      <c r="B17" s="83">
        <v>0.5729166666666666</v>
      </c>
      <c r="C17" s="37">
        <v>26</v>
      </c>
      <c r="D17" s="21">
        <v>0.875</v>
      </c>
      <c r="E17" s="12">
        <f t="shared" si="9"/>
        <v>87.5</v>
      </c>
      <c r="F17" s="10">
        <v>64</v>
      </c>
      <c r="G17" s="10">
        <v>190</v>
      </c>
      <c r="H17" s="80">
        <v>0.2</v>
      </c>
      <c r="I17" s="54">
        <v>0.23</v>
      </c>
      <c r="J17" s="8">
        <f t="shared" si="10"/>
        <v>4.47616</v>
      </c>
      <c r="K17" s="7">
        <f t="shared" si="11"/>
        <v>120861486720</v>
      </c>
      <c r="L17" s="8">
        <f t="shared" si="12"/>
        <v>27.976</v>
      </c>
      <c r="M17" s="8">
        <f t="shared" si="13"/>
        <v>32.1724</v>
      </c>
      <c r="N17" s="109">
        <f t="shared" si="14"/>
        <v>4.47616</v>
      </c>
      <c r="O17" s="109">
        <f t="shared" si="15"/>
        <v>4.47616</v>
      </c>
      <c r="P17" s="109">
        <f t="shared" si="16"/>
      </c>
      <c r="Q17" s="24">
        <f t="shared" si="17"/>
      </c>
      <c r="R17" s="22">
        <v>-0.0015211587536231883</v>
      </c>
      <c r="S17" s="52">
        <v>0.11538461538461539</v>
      </c>
      <c r="T17" s="69" t="str">
        <f t="shared" si="18"/>
        <v>***</v>
      </c>
      <c r="U17" s="68">
        <f t="shared" si="19"/>
      </c>
      <c r="V17" s="62" t="str">
        <f t="shared" si="3"/>
        <v>***</v>
      </c>
      <c r="W17" s="47">
        <f t="shared" si="20"/>
        <v>87.5</v>
      </c>
      <c r="X17" s="47">
        <f t="shared" si="21"/>
        <v>4.47616</v>
      </c>
      <c r="Y17" s="56">
        <f t="shared" si="4"/>
      </c>
      <c r="Z17" s="56">
        <f t="shared" si="5"/>
      </c>
      <c r="AA17" s="56">
        <f t="shared" si="6"/>
      </c>
      <c r="AB17" s="56">
        <f t="shared" si="7"/>
        <v>4.47616</v>
      </c>
      <c r="AC17" s="56">
        <f t="shared" si="8"/>
      </c>
      <c r="AE17" s="64">
        <f>AC$3</f>
        <v>3.307086</v>
      </c>
      <c r="AF17" s="64">
        <f>AC$4</f>
        <v>2.59047</v>
      </c>
    </row>
    <row r="18" spans="1:29" ht="15">
      <c r="A18" s="82">
        <v>33556</v>
      </c>
      <c r="B18" s="83">
        <v>0.5625</v>
      </c>
      <c r="C18" s="37">
        <v>34</v>
      </c>
      <c r="D18" s="21">
        <v>0.806</v>
      </c>
      <c r="E18" s="12">
        <f t="shared" si="9"/>
        <v>80.60000000000001</v>
      </c>
      <c r="F18" s="10">
        <v>6</v>
      </c>
      <c r="G18" s="10">
        <v>20</v>
      </c>
      <c r="H18" s="80">
        <v>1.4</v>
      </c>
      <c r="I18" s="54">
        <v>0.22</v>
      </c>
      <c r="J18" s="8">
        <f t="shared" si="10"/>
        <v>0.54876</v>
      </c>
      <c r="K18" s="7">
        <f t="shared" si="11"/>
        <v>16636803840</v>
      </c>
      <c r="L18" s="8">
        <f t="shared" si="12"/>
        <v>256.08799999999997</v>
      </c>
      <c r="M18" s="8">
        <f t="shared" si="13"/>
        <v>40.2424</v>
      </c>
      <c r="N18" s="109">
        <f t="shared" si="14"/>
        <v>0.54876</v>
      </c>
      <c r="O18" s="109">
        <f t="shared" si="15"/>
      </c>
      <c r="P18" s="109">
        <f t="shared" si="16"/>
      </c>
      <c r="Q18" s="24">
        <f t="shared" si="17"/>
      </c>
      <c r="R18" s="22">
        <v>0</v>
      </c>
      <c r="S18" s="52">
        <v>0.029411764705882353</v>
      </c>
      <c r="T18" s="69">
        <f t="shared" si="18"/>
      </c>
      <c r="U18" s="68">
        <f t="shared" si="19"/>
      </c>
      <c r="V18" s="62" t="str">
        <f t="shared" si="3"/>
        <v>***</v>
      </c>
      <c r="W18" s="47">
        <f t="shared" si="20"/>
        <v>80.60000000000001</v>
      </c>
      <c r="X18" s="47">
        <f t="shared" si="21"/>
        <v>0.54876</v>
      </c>
      <c r="Y18" s="56">
        <f t="shared" si="4"/>
      </c>
      <c r="Z18" s="56">
        <f t="shared" si="5"/>
      </c>
      <c r="AA18" s="56">
        <f t="shared" si="6"/>
      </c>
      <c r="AB18" s="56">
        <f t="shared" si="7"/>
        <v>0.54876</v>
      </c>
      <c r="AC18" s="56">
        <f t="shared" si="8"/>
      </c>
    </row>
    <row r="19" spans="1:29" ht="15">
      <c r="A19" s="82">
        <v>33582</v>
      </c>
      <c r="B19" s="83">
        <v>0.5659722222222222</v>
      </c>
      <c r="C19" s="37">
        <v>124</v>
      </c>
      <c r="D19" s="21">
        <v>0.514</v>
      </c>
      <c r="E19" s="12">
        <f t="shared" si="9"/>
        <v>51.4</v>
      </c>
      <c r="F19" s="10">
        <v>24</v>
      </c>
      <c r="G19" s="10">
        <v>2100</v>
      </c>
      <c r="H19" s="80">
        <v>7</v>
      </c>
      <c r="I19" s="54">
        <v>0.13</v>
      </c>
      <c r="J19" s="8">
        <f t="shared" si="10"/>
        <v>8.00544</v>
      </c>
      <c r="K19" s="7">
        <f t="shared" si="11"/>
        <v>6370917235200</v>
      </c>
      <c r="L19" s="8">
        <f t="shared" si="12"/>
        <v>4669.84</v>
      </c>
      <c r="M19" s="8">
        <f t="shared" si="13"/>
        <v>86.7256</v>
      </c>
      <c r="N19" s="109">
        <f t="shared" si="14"/>
        <v>8.00544</v>
      </c>
      <c r="O19" s="109">
        <f t="shared" si="15"/>
      </c>
      <c r="P19" s="109">
        <f t="shared" si="16"/>
      </c>
      <c r="Q19" s="24">
        <f t="shared" si="17"/>
      </c>
      <c r="R19" s="22">
        <v>-0.034986651333333334</v>
      </c>
      <c r="S19" s="52">
        <v>0.1693548387096774</v>
      </c>
      <c r="T19" s="69">
        <f t="shared" si="18"/>
      </c>
      <c r="U19" s="68">
        <f t="shared" si="19"/>
      </c>
      <c r="V19" s="62" t="str">
        <f t="shared" si="3"/>
        <v>***</v>
      </c>
      <c r="W19" s="47">
        <f t="shared" si="20"/>
        <v>51.4</v>
      </c>
      <c r="X19" s="47">
        <f t="shared" si="21"/>
        <v>8.00544</v>
      </c>
      <c r="Y19" s="56">
        <f t="shared" si="4"/>
      </c>
      <c r="Z19" s="56">
        <f t="shared" si="5"/>
      </c>
      <c r="AA19" s="56">
        <f t="shared" si="6"/>
        <v>8.00544</v>
      </c>
      <c r="AB19" s="56">
        <f t="shared" si="7"/>
      </c>
      <c r="AC19" s="56">
        <f t="shared" si="8"/>
      </c>
    </row>
    <row r="20" spans="1:29" ht="15">
      <c r="A20" s="82">
        <v>33639</v>
      </c>
      <c r="B20" s="83">
        <v>0.7708333333333334</v>
      </c>
      <c r="C20" s="37">
        <v>747</v>
      </c>
      <c r="D20" s="21">
        <v>0.195</v>
      </c>
      <c r="E20" s="12">
        <f t="shared" si="9"/>
        <v>19.5</v>
      </c>
      <c r="F20" s="10">
        <v>49</v>
      </c>
      <c r="G20" s="10">
        <v>600</v>
      </c>
      <c r="H20" s="80">
        <v>9.1</v>
      </c>
      <c r="I20" s="54">
        <v>0.09</v>
      </c>
      <c r="J20" s="8">
        <f t="shared" si="10"/>
        <v>98.46207000000001</v>
      </c>
      <c r="K20" s="7">
        <f t="shared" si="11"/>
        <v>10965611001600</v>
      </c>
      <c r="L20" s="8">
        <f t="shared" si="12"/>
        <v>36571.626</v>
      </c>
      <c r="M20" s="8">
        <f t="shared" si="13"/>
        <v>361.6974</v>
      </c>
      <c r="N20" s="109">
        <f t="shared" si="14"/>
        <v>98.46207000000001</v>
      </c>
      <c r="O20" s="109">
        <f t="shared" si="15"/>
      </c>
      <c r="P20" s="109">
        <f t="shared" si="16"/>
        <v>98.46207000000001</v>
      </c>
      <c r="Q20" s="24">
        <f t="shared" si="17"/>
        <v>7.00000000006729</v>
      </c>
      <c r="R20" s="22">
        <v>0.010648111275362318</v>
      </c>
      <c r="S20" s="52">
        <v>0.5997322623828648</v>
      </c>
      <c r="T20" s="69">
        <f t="shared" si="18"/>
      </c>
      <c r="U20" s="68" t="str">
        <f t="shared" si="19"/>
        <v>***</v>
      </c>
      <c r="V20" s="62" t="str">
        <f t="shared" si="3"/>
        <v>***</v>
      </c>
      <c r="W20" s="47">
        <f t="shared" si="20"/>
        <v>19.5</v>
      </c>
      <c r="X20" s="47">
        <f t="shared" si="21"/>
        <v>98.46207000000001</v>
      </c>
      <c r="Y20" s="56">
        <f t="shared" si="4"/>
      </c>
      <c r="Z20" s="56">
        <f t="shared" si="5"/>
        <v>98.46207000000001</v>
      </c>
      <c r="AA20" s="56">
        <f t="shared" si="6"/>
      </c>
      <c r="AB20" s="56">
        <f t="shared" si="7"/>
      </c>
      <c r="AC20" s="56">
        <f t="shared" si="8"/>
      </c>
    </row>
    <row r="21" spans="1:29" ht="15">
      <c r="A21" s="82">
        <v>33682</v>
      </c>
      <c r="B21" s="83">
        <v>0.5625</v>
      </c>
      <c r="C21" s="37">
        <v>931</v>
      </c>
      <c r="D21" s="21">
        <v>0.16300000000000003</v>
      </c>
      <c r="E21" s="12">
        <f t="shared" si="9"/>
        <v>16.300000000000004</v>
      </c>
      <c r="F21" s="10">
        <v>264</v>
      </c>
      <c r="G21" s="10">
        <v>3400</v>
      </c>
      <c r="H21" s="80">
        <v>12</v>
      </c>
      <c r="I21" s="54">
        <v>0.38</v>
      </c>
      <c r="J21" s="8">
        <f t="shared" si="10"/>
        <v>661.15896</v>
      </c>
      <c r="K21" s="7">
        <f t="shared" si="11"/>
        <v>77444321875200</v>
      </c>
      <c r="L21" s="8">
        <f t="shared" si="12"/>
        <v>60105.36</v>
      </c>
      <c r="M21" s="8">
        <f t="shared" si="13"/>
        <v>1903.3364000000001</v>
      </c>
      <c r="N21" s="109">
        <f t="shared" si="14"/>
        <v>661.15896</v>
      </c>
      <c r="O21" s="109">
        <f t="shared" si="15"/>
      </c>
      <c r="P21" s="109">
        <f t="shared" si="16"/>
        <v>661.15896</v>
      </c>
      <c r="Q21" s="24">
        <f t="shared" si="17"/>
        <v>690.000000006633</v>
      </c>
      <c r="R21" s="22">
        <v>1.04959954</v>
      </c>
      <c r="S21" s="52">
        <v>0.7411385606874329</v>
      </c>
      <c r="T21" s="69">
        <f t="shared" si="18"/>
      </c>
      <c r="U21" s="68" t="str">
        <f t="shared" si="19"/>
        <v>***</v>
      </c>
      <c r="V21" s="62" t="str">
        <f t="shared" si="3"/>
        <v>***</v>
      </c>
      <c r="W21" s="47">
        <f t="shared" si="20"/>
        <v>16.300000000000004</v>
      </c>
      <c r="X21" s="47">
        <f t="shared" si="21"/>
        <v>661.15896</v>
      </c>
      <c r="Y21" s="56">
        <f t="shared" si="4"/>
      </c>
      <c r="Z21" s="56">
        <f t="shared" si="5"/>
        <v>661.15896</v>
      </c>
      <c r="AA21" s="56">
        <f t="shared" si="6"/>
      </c>
      <c r="AB21" s="56">
        <f t="shared" si="7"/>
      </c>
      <c r="AC21" s="56">
        <f t="shared" si="8"/>
      </c>
    </row>
    <row r="22" spans="1:29" ht="15">
      <c r="A22" s="82">
        <v>33723</v>
      </c>
      <c r="B22" s="83">
        <v>0.625</v>
      </c>
      <c r="C22" s="37">
        <v>391</v>
      </c>
      <c r="D22" s="21">
        <v>0.29700000000000004</v>
      </c>
      <c r="E22" s="12">
        <f t="shared" si="9"/>
        <v>29.700000000000003</v>
      </c>
      <c r="F22" s="10">
        <v>80</v>
      </c>
      <c r="G22" s="10" t="s">
        <v>50</v>
      </c>
      <c r="H22" s="80">
        <v>7.2</v>
      </c>
      <c r="I22" s="54">
        <v>0.16</v>
      </c>
      <c r="J22" s="8">
        <f t="shared" si="10"/>
        <v>84.14320000000001</v>
      </c>
      <c r="K22" s="7">
        <f t="shared" si="11"/>
      </c>
      <c r="L22" s="8">
        <f t="shared" si="12"/>
        <v>15145.776000000002</v>
      </c>
      <c r="M22" s="8">
        <f t="shared" si="13"/>
        <v>336.57280000000003</v>
      </c>
      <c r="N22" s="109">
        <f t="shared" si="14"/>
        <v>84.14320000000001</v>
      </c>
      <c r="O22" s="109">
        <f t="shared" si="15"/>
      </c>
      <c r="P22" s="109">
        <f t="shared" si="16"/>
      </c>
      <c r="Q22" s="24">
        <f t="shared" si="17"/>
      </c>
      <c r="R22" s="22">
        <v>-0.28141436942028986</v>
      </c>
      <c r="S22" s="52">
        <v>0.058823529411764705</v>
      </c>
      <c r="T22" s="69">
        <f t="shared" si="18"/>
      </c>
      <c r="U22" s="68">
        <f t="shared" si="19"/>
      </c>
      <c r="V22" s="62" t="str">
        <f t="shared" si="3"/>
        <v>***</v>
      </c>
      <c r="W22" s="47">
        <f t="shared" si="20"/>
        <v>29.700000000000003</v>
      </c>
      <c r="X22" s="47">
        <f t="shared" si="21"/>
        <v>84.14320000000001</v>
      </c>
      <c r="Y22" s="56">
        <f t="shared" si="4"/>
      </c>
      <c r="Z22" s="56">
        <f t="shared" si="5"/>
        <v>84.14320000000001</v>
      </c>
      <c r="AA22" s="56">
        <f t="shared" si="6"/>
      </c>
      <c r="AB22" s="56">
        <f t="shared" si="7"/>
      </c>
      <c r="AC22" s="56">
        <f t="shared" si="8"/>
      </c>
    </row>
    <row r="23" spans="1:29" ht="15">
      <c r="A23" s="82">
        <v>33736</v>
      </c>
      <c r="B23" s="83">
        <v>0.5347222222222222</v>
      </c>
      <c r="C23" s="37">
        <v>112</v>
      </c>
      <c r="D23" s="21">
        <v>0.534</v>
      </c>
      <c r="E23" s="12">
        <f t="shared" si="9"/>
        <v>53.400000000000006</v>
      </c>
      <c r="F23" s="10">
        <v>52</v>
      </c>
      <c r="G23" s="10">
        <v>130</v>
      </c>
      <c r="H23" s="80">
        <v>3.8</v>
      </c>
      <c r="I23" s="54">
        <v>0.28</v>
      </c>
      <c r="J23" s="8">
        <f t="shared" si="10"/>
        <v>15.66656</v>
      </c>
      <c r="K23" s="7">
        <f t="shared" si="11"/>
        <v>356223329280</v>
      </c>
      <c r="L23" s="8">
        <f t="shared" si="12"/>
        <v>2289.7279999999996</v>
      </c>
      <c r="M23" s="8">
        <f t="shared" si="13"/>
        <v>168.7168</v>
      </c>
      <c r="N23" s="109">
        <f t="shared" si="14"/>
        <v>15.66656</v>
      </c>
      <c r="O23" s="109">
        <f t="shared" si="15"/>
      </c>
      <c r="P23" s="109">
        <f t="shared" si="16"/>
      </c>
      <c r="Q23" s="24">
        <f t="shared" si="17"/>
      </c>
      <c r="R23" s="22">
        <v>-0.010648111275362318</v>
      </c>
      <c r="S23" s="52">
        <v>0.16071428571428573</v>
      </c>
      <c r="T23" s="69">
        <f t="shared" si="18"/>
      </c>
      <c r="U23" s="68">
        <f t="shared" si="19"/>
      </c>
      <c r="V23" s="62" t="str">
        <f t="shared" si="3"/>
        <v>***</v>
      </c>
      <c r="W23" s="47">
        <f t="shared" si="20"/>
        <v>53.400000000000006</v>
      </c>
      <c r="X23" s="47">
        <f t="shared" si="21"/>
        <v>15.66656</v>
      </c>
      <c r="Y23" s="56">
        <f t="shared" si="4"/>
      </c>
      <c r="Z23" s="56">
        <f t="shared" si="5"/>
      </c>
      <c r="AA23" s="56">
        <f t="shared" si="6"/>
        <v>15.66656</v>
      </c>
      <c r="AB23" s="56">
        <f t="shared" si="7"/>
      </c>
      <c r="AC23" s="56">
        <f t="shared" si="8"/>
      </c>
    </row>
    <row r="24" spans="1:29" ht="15">
      <c r="A24" s="82">
        <v>33765</v>
      </c>
      <c r="B24" s="83">
        <v>0.4479166666666667</v>
      </c>
      <c r="C24" s="37">
        <v>357</v>
      </c>
      <c r="D24" s="21">
        <v>0.31100000000000005</v>
      </c>
      <c r="E24" s="12">
        <f t="shared" si="9"/>
        <v>31.100000000000005</v>
      </c>
      <c r="F24" s="10">
        <v>80</v>
      </c>
      <c r="G24" s="10">
        <v>120</v>
      </c>
      <c r="H24" s="80">
        <v>18</v>
      </c>
      <c r="I24" s="54">
        <v>0.13</v>
      </c>
      <c r="J24" s="8">
        <f t="shared" si="10"/>
        <v>76.8264</v>
      </c>
      <c r="K24" s="7">
        <f t="shared" si="11"/>
        <v>1048118641920</v>
      </c>
      <c r="L24" s="8">
        <f t="shared" si="12"/>
        <v>34571.88</v>
      </c>
      <c r="M24" s="8">
        <f t="shared" si="13"/>
        <v>249.68580000000003</v>
      </c>
      <c r="N24" s="109">
        <f t="shared" si="14"/>
        <v>76.8264</v>
      </c>
      <c r="O24" s="109">
        <f t="shared" si="15"/>
        <v>76.8264</v>
      </c>
      <c r="P24" s="109">
        <f t="shared" si="16"/>
        <v>76.8264</v>
      </c>
      <c r="Q24" s="24">
        <f t="shared" si="17"/>
        <v>26.000000000249933</v>
      </c>
      <c r="R24" s="22">
        <v>0.0395501275942029</v>
      </c>
      <c r="S24" s="52">
        <v>0.5742296918767507</v>
      </c>
      <c r="T24" s="69" t="str">
        <f t="shared" si="18"/>
        <v>***</v>
      </c>
      <c r="U24" s="68" t="str">
        <f t="shared" si="19"/>
        <v>***</v>
      </c>
      <c r="V24" s="62" t="str">
        <f t="shared" si="3"/>
        <v>***</v>
      </c>
      <c r="W24" s="47">
        <f t="shared" si="20"/>
        <v>31.100000000000005</v>
      </c>
      <c r="X24" s="47">
        <f t="shared" si="21"/>
        <v>76.8264</v>
      </c>
      <c r="Y24" s="56">
        <f t="shared" si="4"/>
      </c>
      <c r="Z24" s="56">
        <f t="shared" si="5"/>
        <v>76.8264</v>
      </c>
      <c r="AA24" s="56">
        <f t="shared" si="6"/>
      </c>
      <c r="AB24" s="56">
        <f t="shared" si="7"/>
      </c>
      <c r="AC24" s="56">
        <f t="shared" si="8"/>
      </c>
    </row>
    <row r="25" spans="1:29" ht="15">
      <c r="A25" s="82">
        <v>33945</v>
      </c>
      <c r="B25" s="83">
        <v>0.611111111111111</v>
      </c>
      <c r="C25" s="37">
        <v>189</v>
      </c>
      <c r="D25" s="21">
        <v>0.425</v>
      </c>
      <c r="E25" s="12">
        <f t="shared" si="9"/>
        <v>42.5</v>
      </c>
      <c r="F25" s="10">
        <v>10</v>
      </c>
      <c r="G25" s="10">
        <v>40</v>
      </c>
      <c r="H25" s="80">
        <v>2.6</v>
      </c>
      <c r="I25" s="54">
        <v>0.11</v>
      </c>
      <c r="J25" s="8">
        <f t="shared" si="10"/>
        <v>5.0841</v>
      </c>
      <c r="K25" s="7">
        <f t="shared" si="11"/>
        <v>184962113280</v>
      </c>
      <c r="L25" s="8">
        <f t="shared" si="12"/>
        <v>2643.732</v>
      </c>
      <c r="M25" s="8">
        <f t="shared" si="13"/>
        <v>111.85019999999999</v>
      </c>
      <c r="N25" s="109">
        <f t="shared" si="14"/>
        <v>5.0841</v>
      </c>
      <c r="O25" s="109">
        <f t="shared" si="15"/>
      </c>
      <c r="P25" s="109">
        <f t="shared" si="16"/>
      </c>
      <c r="Q25" s="24">
        <f t="shared" si="17"/>
      </c>
      <c r="R25" s="22">
        <v>-0.021296222550724636</v>
      </c>
      <c r="S25" s="52">
        <v>0.2328042328042328</v>
      </c>
      <c r="T25" s="69">
        <f t="shared" si="18"/>
      </c>
      <c r="U25" s="68">
        <f t="shared" si="19"/>
      </c>
      <c r="V25" s="62" t="str">
        <f t="shared" si="3"/>
        <v>***</v>
      </c>
      <c r="W25" s="47">
        <f t="shared" si="20"/>
        <v>42.5</v>
      </c>
      <c r="X25" s="47">
        <f t="shared" si="21"/>
        <v>5.0841</v>
      </c>
      <c r="Y25" s="56">
        <f t="shared" si="4"/>
      </c>
      <c r="Z25" s="56">
        <f t="shared" si="5"/>
      </c>
      <c r="AA25" s="56">
        <f t="shared" si="6"/>
        <v>5.0841</v>
      </c>
      <c r="AB25" s="56">
        <f t="shared" si="7"/>
      </c>
      <c r="AC25" s="56">
        <f t="shared" si="8"/>
      </c>
    </row>
    <row r="26" spans="1:29" ht="15">
      <c r="A26" s="82">
        <v>33995</v>
      </c>
      <c r="B26" s="83">
        <v>0.4861111111111111</v>
      </c>
      <c r="C26" s="37">
        <v>1840</v>
      </c>
      <c r="D26" s="21">
        <v>0.07799999999999996</v>
      </c>
      <c r="E26" s="12">
        <f t="shared" si="9"/>
        <v>7.799999999999995</v>
      </c>
      <c r="F26" s="10">
        <v>68</v>
      </c>
      <c r="G26" s="10">
        <v>250</v>
      </c>
      <c r="H26" s="80">
        <v>4.4</v>
      </c>
      <c r="I26" s="54">
        <v>0.35</v>
      </c>
      <c r="J26" s="8">
        <f t="shared" si="10"/>
        <v>336.57280000000003</v>
      </c>
      <c r="K26" s="7">
        <f t="shared" si="11"/>
        <v>11254308480000</v>
      </c>
      <c r="L26" s="8">
        <f t="shared" si="12"/>
        <v>43556.48</v>
      </c>
      <c r="M26" s="8">
        <f t="shared" si="13"/>
        <v>3464.72</v>
      </c>
      <c r="N26" s="109">
        <f t="shared" si="14"/>
        <v>336.57280000000003</v>
      </c>
      <c r="O26" s="109">
        <f t="shared" si="15"/>
      </c>
      <c r="P26" s="109">
        <f t="shared" si="16"/>
        <v>336.57280000000003</v>
      </c>
      <c r="Q26" s="24">
        <f t="shared" si="17"/>
      </c>
      <c r="R26" s="22">
        <v>-0.8974836646376811</v>
      </c>
      <c r="S26" s="52">
        <v>0.5043478260869565</v>
      </c>
      <c r="T26" s="69">
        <f t="shared" si="18"/>
      </c>
      <c r="U26" s="68" t="str">
        <f t="shared" si="19"/>
        <v>***</v>
      </c>
      <c r="V26" s="62" t="str">
        <f t="shared" si="3"/>
        <v>***</v>
      </c>
      <c r="W26" s="47">
        <f t="shared" si="20"/>
        <v>7.799999999999995</v>
      </c>
      <c r="X26" s="47">
        <f t="shared" si="21"/>
        <v>336.57280000000003</v>
      </c>
      <c r="Y26" s="56">
        <f t="shared" si="4"/>
        <v>336.57280000000003</v>
      </c>
      <c r="Z26" s="56">
        <f t="shared" si="5"/>
      </c>
      <c r="AA26" s="56">
        <f t="shared" si="6"/>
      </c>
      <c r="AB26" s="56">
        <f t="shared" si="7"/>
      </c>
      <c r="AC26" s="56">
        <f t="shared" si="8"/>
      </c>
    </row>
    <row r="27" spans="1:29" ht="15">
      <c r="A27" s="82">
        <v>34050</v>
      </c>
      <c r="B27" s="83">
        <v>0.6458333333333334</v>
      </c>
      <c r="C27" s="37">
        <v>1010</v>
      </c>
      <c r="D27" s="21">
        <v>0.15300000000000002</v>
      </c>
      <c r="E27" s="12">
        <f t="shared" si="9"/>
        <v>15.300000000000002</v>
      </c>
      <c r="F27" s="10">
        <v>44</v>
      </c>
      <c r="G27" s="10">
        <v>520</v>
      </c>
      <c r="H27" s="80">
        <v>4</v>
      </c>
      <c r="I27" s="54">
        <v>0.22</v>
      </c>
      <c r="J27" s="8">
        <f t="shared" si="10"/>
        <v>119.54360000000001</v>
      </c>
      <c r="K27" s="7">
        <f t="shared" si="11"/>
        <v>12849484377600</v>
      </c>
      <c r="L27" s="8">
        <f t="shared" si="12"/>
        <v>21735.2</v>
      </c>
      <c r="M27" s="8">
        <f t="shared" si="13"/>
        <v>1195.436</v>
      </c>
      <c r="N27" s="109">
        <f t="shared" si="14"/>
        <v>119.54360000000001</v>
      </c>
      <c r="O27" s="109">
        <f t="shared" si="15"/>
      </c>
      <c r="P27" s="109">
        <f t="shared" si="16"/>
        <v>119.54360000000001</v>
      </c>
      <c r="Q27" s="24">
        <f t="shared" si="17"/>
        <v>176.00000000169186</v>
      </c>
      <c r="R27" s="22">
        <v>0.2677239406376812</v>
      </c>
      <c r="S27" s="52">
        <v>0.30594059405940593</v>
      </c>
      <c r="T27" s="69">
        <f t="shared" si="18"/>
      </c>
      <c r="U27" s="68" t="str">
        <f t="shared" si="19"/>
        <v>***</v>
      </c>
      <c r="V27" s="62" t="str">
        <f t="shared" si="3"/>
        <v>***</v>
      </c>
      <c r="W27" s="47">
        <f t="shared" si="20"/>
        <v>15.300000000000002</v>
      </c>
      <c r="X27" s="47">
        <f t="shared" si="21"/>
        <v>119.54360000000001</v>
      </c>
      <c r="Y27" s="56">
        <f t="shared" si="4"/>
      </c>
      <c r="Z27" s="56">
        <f t="shared" si="5"/>
        <v>119.54360000000001</v>
      </c>
      <c r="AA27" s="56">
        <f t="shared" si="6"/>
      </c>
      <c r="AB27" s="56">
        <f t="shared" si="7"/>
      </c>
      <c r="AC27" s="56">
        <f t="shared" si="8"/>
      </c>
    </row>
    <row r="28" spans="1:29" ht="15">
      <c r="A28" s="82">
        <v>34065</v>
      </c>
      <c r="B28" s="83">
        <v>0.6770833333333334</v>
      </c>
      <c r="C28" s="37">
        <v>758</v>
      </c>
      <c r="D28" s="21">
        <v>0.19199999999999995</v>
      </c>
      <c r="E28" s="12">
        <f t="shared" si="9"/>
        <v>19.199999999999996</v>
      </c>
      <c r="F28" s="10">
        <v>54</v>
      </c>
      <c r="G28" s="10">
        <v>210</v>
      </c>
      <c r="H28" s="80">
        <v>3.6</v>
      </c>
      <c r="I28" s="54">
        <v>0.18</v>
      </c>
      <c r="J28" s="8">
        <f t="shared" si="10"/>
        <v>110.10708000000001</v>
      </c>
      <c r="K28" s="7">
        <f t="shared" si="11"/>
        <v>3894480051840</v>
      </c>
      <c r="L28" s="8">
        <f t="shared" si="12"/>
        <v>14680.944000000001</v>
      </c>
      <c r="M28" s="8">
        <f t="shared" si="13"/>
        <v>734.0472</v>
      </c>
      <c r="N28" s="109">
        <f t="shared" si="14"/>
        <v>110.10708000000001</v>
      </c>
      <c r="O28" s="109">
        <f t="shared" si="15"/>
      </c>
      <c r="P28" s="109">
        <f t="shared" si="16"/>
      </c>
      <c r="Q28" s="24">
        <f t="shared" si="17"/>
      </c>
      <c r="R28" s="22">
        <v>-0.307274068231884</v>
      </c>
      <c r="S28" s="52">
        <v>0.4340369393139842</v>
      </c>
      <c r="T28" s="69">
        <f t="shared" si="18"/>
      </c>
      <c r="U28" s="68">
        <f t="shared" si="19"/>
      </c>
      <c r="V28" s="62" t="str">
        <f t="shared" si="3"/>
        <v>***</v>
      </c>
      <c r="W28" s="47">
        <f t="shared" si="20"/>
        <v>19.199999999999996</v>
      </c>
      <c r="X28" s="47">
        <f t="shared" si="21"/>
        <v>110.10708000000001</v>
      </c>
      <c r="Y28" s="56">
        <f t="shared" si="4"/>
      </c>
      <c r="Z28" s="56">
        <f t="shared" si="5"/>
        <v>110.10708000000001</v>
      </c>
      <c r="AA28" s="56">
        <f t="shared" si="6"/>
      </c>
      <c r="AB28" s="56">
        <f t="shared" si="7"/>
      </c>
      <c r="AC28" s="56">
        <f t="shared" si="8"/>
      </c>
    </row>
    <row r="29" spans="1:29" ht="15">
      <c r="A29" s="82">
        <v>34095</v>
      </c>
      <c r="B29" s="83">
        <v>0.4479166666666667</v>
      </c>
      <c r="C29" s="37">
        <v>274</v>
      </c>
      <c r="D29" s="21">
        <v>0.355</v>
      </c>
      <c r="E29" s="12">
        <f t="shared" si="9"/>
        <v>35.5</v>
      </c>
      <c r="F29" s="10">
        <v>93</v>
      </c>
      <c r="G29" s="10">
        <v>510</v>
      </c>
      <c r="H29" s="80">
        <v>2</v>
      </c>
      <c r="I29" s="54">
        <v>0.15</v>
      </c>
      <c r="J29" s="8">
        <f t="shared" si="10"/>
        <v>68.54658</v>
      </c>
      <c r="K29" s="7">
        <f t="shared" si="11"/>
        <v>3418863189120</v>
      </c>
      <c r="L29" s="8">
        <f t="shared" si="12"/>
        <v>2948.24</v>
      </c>
      <c r="M29" s="8">
        <f t="shared" si="13"/>
        <v>221.118</v>
      </c>
      <c r="N29" s="109">
        <f t="shared" si="14"/>
        <v>68.54658</v>
      </c>
      <c r="O29" s="109">
        <f t="shared" si="15"/>
      </c>
      <c r="P29" s="109">
        <f t="shared" si="16"/>
      </c>
      <c r="Q29" s="24">
        <f t="shared" si="17"/>
      </c>
      <c r="R29" s="22">
        <v>-0.09279068397101449</v>
      </c>
      <c r="S29" s="52">
        <v>0.4197080291970803</v>
      </c>
      <c r="T29" s="69">
        <f t="shared" si="18"/>
      </c>
      <c r="U29" s="68">
        <f t="shared" si="19"/>
      </c>
      <c r="V29" s="62" t="str">
        <f t="shared" si="3"/>
        <v>***</v>
      </c>
      <c r="W29" s="47">
        <f t="shared" si="20"/>
        <v>35.5</v>
      </c>
      <c r="X29" s="47">
        <f t="shared" si="21"/>
        <v>68.54658</v>
      </c>
      <c r="Y29" s="56">
        <f t="shared" si="4"/>
      </c>
      <c r="Z29" s="56">
        <f t="shared" si="5"/>
        <v>68.54658</v>
      </c>
      <c r="AA29" s="56">
        <f t="shared" si="6"/>
      </c>
      <c r="AB29" s="56">
        <f t="shared" si="7"/>
      </c>
      <c r="AC29" s="56">
        <f t="shared" si="8"/>
      </c>
    </row>
    <row r="30" spans="1:29" ht="15">
      <c r="A30" s="82">
        <v>34137</v>
      </c>
      <c r="B30" s="83">
        <v>0.6666666666666666</v>
      </c>
      <c r="C30" s="37">
        <v>276</v>
      </c>
      <c r="D30" s="21">
        <v>0.353</v>
      </c>
      <c r="E30" s="12">
        <f t="shared" si="9"/>
        <v>35.3</v>
      </c>
      <c r="F30" s="10">
        <v>156</v>
      </c>
      <c r="G30" s="10">
        <v>7400</v>
      </c>
      <c r="H30" s="80">
        <v>7.5</v>
      </c>
      <c r="I30" s="54">
        <v>0.32</v>
      </c>
      <c r="J30" s="8">
        <f t="shared" si="10"/>
        <v>115.82064000000001</v>
      </c>
      <c r="K30" s="7">
        <f t="shared" si="11"/>
        <v>49969129651200</v>
      </c>
      <c r="L30" s="8">
        <f t="shared" si="12"/>
        <v>11136.6</v>
      </c>
      <c r="M30" s="8">
        <f t="shared" si="13"/>
        <v>475.1616</v>
      </c>
      <c r="N30" s="109">
        <f t="shared" si="14"/>
        <v>115.82064000000001</v>
      </c>
      <c r="O30" s="109">
        <f t="shared" si="15"/>
        <v>115.82064000000001</v>
      </c>
      <c r="P30" s="109">
        <f t="shared" si="16"/>
      </c>
      <c r="Q30" s="24">
        <f t="shared" si="17"/>
        <v>28.00000000026916</v>
      </c>
      <c r="R30" s="22">
        <v>0.04259244510144927</v>
      </c>
      <c r="S30" s="52">
        <v>0.14855072463768115</v>
      </c>
      <c r="T30" s="69" t="str">
        <f t="shared" si="18"/>
        <v>***</v>
      </c>
      <c r="U30" s="68">
        <f t="shared" si="19"/>
      </c>
      <c r="V30" s="62" t="str">
        <f t="shared" si="3"/>
        <v>***</v>
      </c>
      <c r="W30" s="47">
        <f t="shared" si="20"/>
        <v>35.3</v>
      </c>
      <c r="X30" s="47">
        <f t="shared" si="21"/>
        <v>115.82064000000001</v>
      </c>
      <c r="Y30" s="56">
        <f t="shared" si="4"/>
      </c>
      <c r="Z30" s="56">
        <f t="shared" si="5"/>
        <v>115.82064000000001</v>
      </c>
      <c r="AA30" s="56">
        <f t="shared" si="6"/>
      </c>
      <c r="AB30" s="56">
        <f t="shared" si="7"/>
      </c>
      <c r="AC30" s="56">
        <f t="shared" si="8"/>
      </c>
    </row>
    <row r="31" spans="1:29" ht="15">
      <c r="A31" s="82">
        <v>34165</v>
      </c>
      <c r="B31" s="83">
        <v>0.3541666666666667</v>
      </c>
      <c r="C31" s="37">
        <v>511</v>
      </c>
      <c r="D31" s="21">
        <v>0.253</v>
      </c>
      <c r="E31" s="12">
        <f t="shared" si="9"/>
        <v>25.3</v>
      </c>
      <c r="F31" s="10">
        <v>150</v>
      </c>
      <c r="G31" s="10">
        <v>290</v>
      </c>
      <c r="H31" s="80">
        <v>3.1</v>
      </c>
      <c r="I31" s="54">
        <v>0.38</v>
      </c>
      <c r="J31" s="8">
        <f t="shared" si="10"/>
        <v>206.1885</v>
      </c>
      <c r="K31" s="7">
        <f t="shared" si="11"/>
        <v>3625599942720</v>
      </c>
      <c r="L31" s="8">
        <f t="shared" si="12"/>
        <v>8522.458</v>
      </c>
      <c r="M31" s="8">
        <f t="shared" si="13"/>
        <v>1044.6884</v>
      </c>
      <c r="N31" s="109">
        <f t="shared" si="14"/>
        <v>206.1885</v>
      </c>
      <c r="O31" s="109">
        <f t="shared" si="15"/>
        <v>206.1885</v>
      </c>
      <c r="P31" s="109">
        <f t="shared" si="16"/>
      </c>
      <c r="Q31" s="24">
        <f t="shared" si="17"/>
      </c>
      <c r="R31" s="22">
        <v>-0.1308196528115942</v>
      </c>
      <c r="S31" s="52">
        <v>0.3776908023483366</v>
      </c>
      <c r="T31" s="69" t="str">
        <f t="shared" si="18"/>
        <v>***</v>
      </c>
      <c r="U31" s="68">
        <f t="shared" si="19"/>
      </c>
      <c r="V31" s="62" t="str">
        <f t="shared" si="3"/>
        <v>***</v>
      </c>
      <c r="W31" s="47">
        <f t="shared" si="20"/>
        <v>25.3</v>
      </c>
      <c r="X31" s="47">
        <f t="shared" si="21"/>
        <v>206.1885</v>
      </c>
      <c r="Y31" s="56">
        <f t="shared" si="4"/>
      </c>
      <c r="Z31" s="56">
        <f t="shared" si="5"/>
        <v>206.1885</v>
      </c>
      <c r="AA31" s="56">
        <f t="shared" si="6"/>
      </c>
      <c r="AB31" s="56">
        <f t="shared" si="7"/>
      </c>
      <c r="AC31" s="56">
        <f t="shared" si="8"/>
      </c>
    </row>
    <row r="32" spans="1:29" ht="15">
      <c r="A32" s="82">
        <v>34191</v>
      </c>
      <c r="B32" s="83">
        <v>0.545138888888889</v>
      </c>
      <c r="C32" s="37">
        <v>65</v>
      </c>
      <c r="D32" s="21">
        <v>0.656</v>
      </c>
      <c r="E32" s="12">
        <f t="shared" si="9"/>
        <v>65.60000000000001</v>
      </c>
      <c r="F32" s="10">
        <v>129</v>
      </c>
      <c r="G32" s="10">
        <v>590</v>
      </c>
      <c r="H32" s="80">
        <v>0.3</v>
      </c>
      <c r="I32" s="54">
        <v>0.33</v>
      </c>
      <c r="J32" s="8">
        <f t="shared" si="10"/>
        <v>22.55565</v>
      </c>
      <c r="K32" s="7">
        <f t="shared" si="11"/>
        <v>938266804800</v>
      </c>
      <c r="L32" s="8">
        <f t="shared" si="12"/>
        <v>104.91</v>
      </c>
      <c r="M32" s="8">
        <f t="shared" si="13"/>
        <v>115.401</v>
      </c>
      <c r="N32" s="109">
        <f t="shared" si="14"/>
        <v>22.55565</v>
      </c>
      <c r="O32" s="109">
        <f t="shared" si="15"/>
        <v>22.55565</v>
      </c>
      <c r="P32" s="109">
        <f t="shared" si="16"/>
      </c>
      <c r="Q32" s="24">
        <f t="shared" si="17"/>
        <v>4.000000000038451</v>
      </c>
      <c r="R32" s="22">
        <v>0.006084635014492753</v>
      </c>
      <c r="S32" s="52">
        <v>0.2153846153846154</v>
      </c>
      <c r="T32" s="69" t="str">
        <f t="shared" si="18"/>
        <v>***</v>
      </c>
      <c r="U32" s="68">
        <f t="shared" si="19"/>
      </c>
      <c r="V32" s="62" t="str">
        <f t="shared" si="3"/>
        <v>***</v>
      </c>
      <c r="W32" s="47">
        <f t="shared" si="20"/>
        <v>65.60000000000001</v>
      </c>
      <c r="X32" s="47">
        <f t="shared" si="21"/>
        <v>22.55565</v>
      </c>
      <c r="Y32" s="56">
        <f t="shared" si="4"/>
      </c>
      <c r="Z32" s="56">
        <f t="shared" si="5"/>
      </c>
      <c r="AA32" s="56">
        <f t="shared" si="6"/>
      </c>
      <c r="AB32" s="56">
        <f t="shared" si="7"/>
        <v>22.55565</v>
      </c>
      <c r="AC32" s="56">
        <f t="shared" si="8"/>
      </c>
    </row>
    <row r="33" spans="1:29" ht="15">
      <c r="A33" s="82">
        <v>34227</v>
      </c>
      <c r="B33" s="83">
        <v>0.7152777777777778</v>
      </c>
      <c r="C33" s="37">
        <v>41</v>
      </c>
      <c r="D33" s="21">
        <v>0.757</v>
      </c>
      <c r="E33" s="12">
        <f t="shared" si="9"/>
        <v>75.7</v>
      </c>
      <c r="F33" s="10">
        <v>120</v>
      </c>
      <c r="G33" s="10">
        <v>590</v>
      </c>
      <c r="H33" s="80">
        <v>0.5</v>
      </c>
      <c r="I33" s="54">
        <v>0.33</v>
      </c>
      <c r="J33" s="8">
        <f t="shared" si="10"/>
        <v>13.2348</v>
      </c>
      <c r="K33" s="7">
        <f t="shared" si="11"/>
        <v>591829830720</v>
      </c>
      <c r="L33" s="8">
        <f t="shared" si="12"/>
        <v>110.28999999999999</v>
      </c>
      <c r="M33" s="8">
        <f t="shared" si="13"/>
        <v>72.79140000000001</v>
      </c>
      <c r="N33" s="109">
        <f t="shared" si="14"/>
        <v>13.2348</v>
      </c>
      <c r="O33" s="109">
        <f t="shared" si="15"/>
        <v>13.2348</v>
      </c>
      <c r="P33" s="109">
        <f t="shared" si="16"/>
      </c>
      <c r="Q33" s="24">
        <f t="shared" si="17"/>
        <v>9.000000000086516</v>
      </c>
      <c r="R33" s="22">
        <v>0.013690428782608696</v>
      </c>
      <c r="S33" s="52">
        <v>0.21951219512195122</v>
      </c>
      <c r="T33" s="69" t="str">
        <f t="shared" si="18"/>
        <v>***</v>
      </c>
      <c r="U33" s="68">
        <f t="shared" si="19"/>
      </c>
      <c r="V33" s="62" t="str">
        <f t="shared" si="3"/>
        <v>***</v>
      </c>
      <c r="W33" s="47">
        <f t="shared" si="20"/>
        <v>75.7</v>
      </c>
      <c r="X33" s="47">
        <f t="shared" si="21"/>
        <v>13.2348</v>
      </c>
      <c r="Y33" s="56">
        <f t="shared" si="4"/>
      </c>
      <c r="Z33" s="56">
        <f t="shared" si="5"/>
      </c>
      <c r="AA33" s="56">
        <f t="shared" si="6"/>
      </c>
      <c r="AB33" s="56">
        <f t="shared" si="7"/>
        <v>13.2348</v>
      </c>
      <c r="AC33" s="56">
        <f t="shared" si="8"/>
      </c>
    </row>
    <row r="34" spans="1:29" ht="15">
      <c r="A34" s="82">
        <v>34255</v>
      </c>
      <c r="B34" s="83">
        <v>0.4895833333333333</v>
      </c>
      <c r="C34" s="37">
        <v>27</v>
      </c>
      <c r="D34" s="21">
        <v>0.864</v>
      </c>
      <c r="E34" s="12">
        <f t="shared" si="9"/>
        <v>86.4</v>
      </c>
      <c r="F34" s="10">
        <v>31</v>
      </c>
      <c r="G34" s="10">
        <v>460</v>
      </c>
      <c r="H34" s="80">
        <v>3.5</v>
      </c>
      <c r="I34" s="54">
        <v>0.79</v>
      </c>
      <c r="J34" s="8">
        <f t="shared" si="10"/>
        <v>2.2515300000000003</v>
      </c>
      <c r="K34" s="7">
        <f t="shared" si="11"/>
        <v>303866328960</v>
      </c>
      <c r="L34" s="8">
        <f t="shared" si="12"/>
        <v>508.40999999999997</v>
      </c>
      <c r="M34" s="8">
        <f t="shared" si="13"/>
        <v>114.75540000000001</v>
      </c>
      <c r="N34" s="109">
        <f t="shared" si="14"/>
        <v>2.2515300000000003</v>
      </c>
      <c r="O34" s="109">
        <f t="shared" si="15"/>
        <v>2.2515300000000003</v>
      </c>
      <c r="P34" s="109">
        <f t="shared" si="16"/>
      </c>
      <c r="Q34" s="24">
        <f t="shared" si="17"/>
      </c>
      <c r="R34" s="22">
        <v>-0.0030423175072463765</v>
      </c>
      <c r="S34" s="52">
        <v>0.1111111111111111</v>
      </c>
      <c r="T34" s="69" t="str">
        <f t="shared" si="18"/>
        <v>***</v>
      </c>
      <c r="U34" s="68">
        <f t="shared" si="19"/>
      </c>
      <c r="V34" s="62" t="str">
        <f t="shared" si="3"/>
        <v>***</v>
      </c>
      <c r="W34" s="47">
        <f t="shared" si="20"/>
        <v>86.4</v>
      </c>
      <c r="X34" s="47">
        <f t="shared" si="21"/>
        <v>2.2515300000000003</v>
      </c>
      <c r="Y34" s="56">
        <f t="shared" si="4"/>
      </c>
      <c r="Z34" s="56">
        <f t="shared" si="5"/>
      </c>
      <c r="AA34" s="56">
        <f t="shared" si="6"/>
      </c>
      <c r="AB34" s="56">
        <f t="shared" si="7"/>
        <v>2.2515300000000003</v>
      </c>
      <c r="AC34" s="56">
        <f t="shared" si="8"/>
      </c>
    </row>
    <row r="35" spans="1:29" ht="15">
      <c r="A35" s="82">
        <v>34282</v>
      </c>
      <c r="B35" s="83">
        <v>0.5208333333333334</v>
      </c>
      <c r="C35" s="37">
        <v>32</v>
      </c>
      <c r="D35" s="21">
        <v>0.8220000000000001</v>
      </c>
      <c r="E35" s="12">
        <f t="shared" si="9"/>
        <v>82.2</v>
      </c>
      <c r="F35" s="10">
        <v>14</v>
      </c>
      <c r="G35" s="10">
        <v>10</v>
      </c>
      <c r="H35" s="80">
        <v>2.3</v>
      </c>
      <c r="I35" s="54">
        <v>0.15</v>
      </c>
      <c r="J35" s="8">
        <f t="shared" si="10"/>
        <v>1.20512</v>
      </c>
      <c r="K35" s="7">
        <f t="shared" si="11"/>
        <v>7829084160</v>
      </c>
      <c r="L35" s="8">
        <f t="shared" si="12"/>
        <v>395.96799999999996</v>
      </c>
      <c r="M35" s="8">
        <f t="shared" si="13"/>
        <v>25.823999999999998</v>
      </c>
      <c r="N35" s="109">
        <f t="shared" si="14"/>
        <v>1.20512</v>
      </c>
      <c r="O35" s="109">
        <f t="shared" si="15"/>
      </c>
      <c r="P35" s="109">
        <f t="shared" si="16"/>
      </c>
      <c r="Q35" s="24">
        <f t="shared" si="17"/>
      </c>
      <c r="R35" s="22">
        <v>-0.0015211587536231883</v>
      </c>
      <c r="S35" s="52">
        <v>0.15625</v>
      </c>
      <c r="T35" s="69">
        <f t="shared" si="18"/>
      </c>
      <c r="U35" s="68">
        <f t="shared" si="19"/>
      </c>
      <c r="V35" s="62" t="str">
        <f t="shared" si="3"/>
        <v>***</v>
      </c>
      <c r="W35" s="47">
        <f t="shared" si="20"/>
        <v>82.2</v>
      </c>
      <c r="X35" s="47">
        <f t="shared" si="21"/>
        <v>1.20512</v>
      </c>
      <c r="Y35" s="56">
        <f t="shared" si="4"/>
      </c>
      <c r="Z35" s="56">
        <f t="shared" si="5"/>
      </c>
      <c r="AA35" s="56">
        <f t="shared" si="6"/>
      </c>
      <c r="AB35" s="56">
        <f t="shared" si="7"/>
        <v>1.20512</v>
      </c>
      <c r="AC35" s="56">
        <f t="shared" si="8"/>
      </c>
    </row>
    <row r="36" spans="1:29" ht="15">
      <c r="A36" s="82">
        <v>34390</v>
      </c>
      <c r="B36" s="83">
        <v>0.375</v>
      </c>
      <c r="C36" s="37">
        <v>781</v>
      </c>
      <c r="D36" s="21">
        <v>0.18799999999999994</v>
      </c>
      <c r="E36" s="12">
        <f t="shared" si="9"/>
        <v>18.799999999999994</v>
      </c>
      <c r="F36" s="10">
        <v>31</v>
      </c>
      <c r="G36" s="10">
        <v>11000</v>
      </c>
      <c r="H36" s="80">
        <v>3.6</v>
      </c>
      <c r="I36" s="54">
        <v>0.21</v>
      </c>
      <c r="J36" s="8">
        <f t="shared" si="10"/>
        <v>65.12759</v>
      </c>
      <c r="K36" s="7">
        <f t="shared" si="11"/>
        <v>210186443808000</v>
      </c>
      <c r="L36" s="8">
        <f t="shared" si="12"/>
        <v>15126.408</v>
      </c>
      <c r="M36" s="8">
        <f t="shared" si="13"/>
        <v>882.3738</v>
      </c>
      <c r="N36" s="109">
        <f t="shared" si="14"/>
        <v>65.12759</v>
      </c>
      <c r="O36" s="109">
        <f t="shared" si="15"/>
      </c>
      <c r="P36" s="109">
        <f t="shared" si="16"/>
      </c>
      <c r="Q36" s="24">
        <f t="shared" si="17"/>
      </c>
      <c r="R36" s="22">
        <v>-0.5308844050144927</v>
      </c>
      <c r="S36" s="52">
        <v>0.39820742637644047</v>
      </c>
      <c r="T36" s="69">
        <f t="shared" si="18"/>
      </c>
      <c r="U36" s="68">
        <f t="shared" si="19"/>
      </c>
      <c r="V36" s="62" t="str">
        <f t="shared" si="3"/>
        <v>***</v>
      </c>
      <c r="W36" s="47">
        <f t="shared" si="20"/>
        <v>18.799999999999994</v>
      </c>
      <c r="X36" s="47">
        <f t="shared" si="21"/>
        <v>65.12759</v>
      </c>
      <c r="Y36" s="56">
        <f t="shared" si="4"/>
      </c>
      <c r="Z36" s="56">
        <f t="shared" si="5"/>
        <v>65.12759</v>
      </c>
      <c r="AA36" s="56">
        <f t="shared" si="6"/>
      </c>
      <c r="AB36" s="56">
        <f t="shared" si="7"/>
      </c>
      <c r="AC36" s="56">
        <f t="shared" si="8"/>
      </c>
    </row>
    <row r="37" spans="1:29" ht="15">
      <c r="A37" s="82">
        <v>34417</v>
      </c>
      <c r="B37" s="83">
        <v>0.4375</v>
      </c>
      <c r="C37" s="37">
        <v>178</v>
      </c>
      <c r="D37" s="21">
        <v>0.43700000000000006</v>
      </c>
      <c r="E37" s="12">
        <f t="shared" si="9"/>
        <v>43.7</v>
      </c>
      <c r="F37" s="10">
        <v>45</v>
      </c>
      <c r="G37" s="10">
        <v>150</v>
      </c>
      <c r="H37" s="80" t="s">
        <v>50</v>
      </c>
      <c r="I37" s="54" t="s">
        <v>50</v>
      </c>
      <c r="J37" s="8">
        <f t="shared" si="10"/>
        <v>21.5469</v>
      </c>
      <c r="K37" s="7">
        <f t="shared" si="11"/>
        <v>653239209600</v>
      </c>
      <c r="L37" s="8">
        <f t="shared" si="12"/>
      </c>
      <c r="M37" s="8">
        <f t="shared" si="13"/>
      </c>
      <c r="N37" s="109">
        <f t="shared" si="14"/>
        <v>21.5469</v>
      </c>
      <c r="O37" s="109">
        <f t="shared" si="15"/>
      </c>
      <c r="P37" s="109">
        <f t="shared" si="16"/>
      </c>
      <c r="Q37" s="24">
        <f t="shared" si="17"/>
      </c>
      <c r="R37" s="22">
        <v>-0.021296222550724636</v>
      </c>
      <c r="S37" s="52">
        <v>0.20224719101123595</v>
      </c>
      <c r="T37" s="69">
        <f t="shared" si="18"/>
      </c>
      <c r="U37" s="68">
        <f t="shared" si="19"/>
      </c>
      <c r="V37" s="62" t="str">
        <f t="shared" si="3"/>
        <v>***</v>
      </c>
      <c r="W37" s="47">
        <f t="shared" si="20"/>
        <v>43.7</v>
      </c>
      <c r="X37" s="47">
        <f t="shared" si="21"/>
        <v>21.5469</v>
      </c>
      <c r="Y37" s="56">
        <f t="shared" si="4"/>
      </c>
      <c r="Z37" s="56">
        <f t="shared" si="5"/>
      </c>
      <c r="AA37" s="56">
        <f t="shared" si="6"/>
        <v>21.5469</v>
      </c>
      <c r="AB37" s="56">
        <f t="shared" si="7"/>
      </c>
      <c r="AC37" s="56">
        <f t="shared" si="8"/>
      </c>
    </row>
    <row r="38" spans="1:29" ht="15">
      <c r="A38" s="82">
        <v>34466</v>
      </c>
      <c r="B38" s="83">
        <v>0.4270833333333333</v>
      </c>
      <c r="C38" s="37">
        <v>219</v>
      </c>
      <c r="D38" s="21">
        <v>0.399</v>
      </c>
      <c r="E38" s="12">
        <f t="shared" si="9"/>
        <v>39.900000000000006</v>
      </c>
      <c r="F38" s="10">
        <v>170</v>
      </c>
      <c r="G38" s="10">
        <v>1800</v>
      </c>
      <c r="H38" s="80">
        <v>4.8</v>
      </c>
      <c r="I38" s="54">
        <v>0.3</v>
      </c>
      <c r="J38" s="8">
        <f t="shared" si="10"/>
        <v>100.1487</v>
      </c>
      <c r="K38" s="7">
        <f t="shared" si="11"/>
        <v>9644453049600</v>
      </c>
      <c r="L38" s="8">
        <f t="shared" si="12"/>
        <v>5655.456</v>
      </c>
      <c r="M38" s="8">
        <f t="shared" si="13"/>
        <v>353.466</v>
      </c>
      <c r="N38" s="109">
        <f t="shared" si="14"/>
        <v>100.1487</v>
      </c>
      <c r="O38" s="109">
        <f t="shared" si="15"/>
      </c>
      <c r="P38" s="109">
        <f t="shared" si="16"/>
        <v>100.1487</v>
      </c>
      <c r="Q38" s="24">
        <f t="shared" si="17"/>
        <v>88.00000000084593</v>
      </c>
      <c r="R38" s="22">
        <v>0.1338619703188406</v>
      </c>
      <c r="S38" s="52">
        <v>0.4155251141552511</v>
      </c>
      <c r="T38" s="69">
        <f t="shared" si="18"/>
      </c>
      <c r="U38" s="68" t="str">
        <f t="shared" si="19"/>
        <v>***</v>
      </c>
      <c r="V38" s="62" t="str">
        <f t="shared" si="3"/>
        <v>***</v>
      </c>
      <c r="W38" s="47">
        <f t="shared" si="20"/>
        <v>39.900000000000006</v>
      </c>
      <c r="X38" s="47">
        <f t="shared" si="21"/>
        <v>100.1487</v>
      </c>
      <c r="Y38" s="56">
        <f t="shared" si="4"/>
      </c>
      <c r="Z38" s="56">
        <f t="shared" si="5"/>
        <v>100.1487</v>
      </c>
      <c r="AA38" s="56">
        <f t="shared" si="6"/>
      </c>
      <c r="AB38" s="56">
        <f t="shared" si="7"/>
      </c>
      <c r="AC38" s="56">
        <f t="shared" si="8"/>
      </c>
    </row>
    <row r="39" spans="1:29" ht="15">
      <c r="A39" s="82">
        <v>34501</v>
      </c>
      <c r="B39" s="83">
        <v>0.5833333333333334</v>
      </c>
      <c r="C39" s="37">
        <v>34</v>
      </c>
      <c r="D39" s="21">
        <v>0.806</v>
      </c>
      <c r="E39" s="12">
        <f t="shared" si="9"/>
        <v>80.60000000000001</v>
      </c>
      <c r="F39" s="10">
        <v>102</v>
      </c>
      <c r="G39" s="10">
        <v>380</v>
      </c>
      <c r="H39" s="80">
        <v>0.1</v>
      </c>
      <c r="I39" s="54">
        <v>0.34</v>
      </c>
      <c r="J39" s="8">
        <f t="shared" si="10"/>
        <v>9.32892</v>
      </c>
      <c r="K39" s="7">
        <f t="shared" si="11"/>
        <v>316099272960</v>
      </c>
      <c r="L39" s="8">
        <f t="shared" si="12"/>
        <v>18.292</v>
      </c>
      <c r="M39" s="8">
        <f t="shared" si="13"/>
        <v>62.1928</v>
      </c>
      <c r="N39" s="109">
        <f t="shared" si="14"/>
        <v>9.32892</v>
      </c>
      <c r="O39" s="109">
        <f t="shared" si="15"/>
        <v>9.32892</v>
      </c>
      <c r="P39" s="109">
        <f t="shared" si="16"/>
      </c>
      <c r="Q39" s="24">
        <f t="shared" si="17"/>
      </c>
      <c r="R39" s="22">
        <v>-0.0030423175072463765</v>
      </c>
      <c r="S39" s="52">
        <v>0</v>
      </c>
      <c r="T39" s="69" t="str">
        <f t="shared" si="18"/>
        <v>***</v>
      </c>
      <c r="U39" s="68">
        <f t="shared" si="19"/>
      </c>
      <c r="V39" s="62" t="str">
        <f t="shared" si="3"/>
        <v>***</v>
      </c>
      <c r="W39" s="47">
        <f t="shared" si="20"/>
        <v>80.60000000000001</v>
      </c>
      <c r="X39" s="47">
        <f t="shared" si="21"/>
        <v>9.32892</v>
      </c>
      <c r="Y39" s="56">
        <f t="shared" si="4"/>
      </c>
      <c r="Z39" s="56">
        <f t="shared" si="5"/>
      </c>
      <c r="AA39" s="56">
        <f t="shared" si="6"/>
      </c>
      <c r="AB39" s="56">
        <f t="shared" si="7"/>
        <v>9.32892</v>
      </c>
      <c r="AC39" s="56">
        <f t="shared" si="8"/>
      </c>
    </row>
    <row r="40" spans="1:29" ht="15">
      <c r="A40" s="82">
        <v>34536</v>
      </c>
      <c r="B40" s="83">
        <v>0.7222222222222222</v>
      </c>
      <c r="C40" s="37">
        <v>36</v>
      </c>
      <c r="D40" s="21">
        <v>0.79</v>
      </c>
      <c r="E40" s="12">
        <f t="shared" si="9"/>
        <v>79</v>
      </c>
      <c r="F40" s="10">
        <v>78</v>
      </c>
      <c r="G40" s="10">
        <v>3800</v>
      </c>
      <c r="H40" s="80">
        <v>3</v>
      </c>
      <c r="I40" s="54">
        <v>0.25</v>
      </c>
      <c r="J40" s="8">
        <f t="shared" si="10"/>
        <v>7.553520000000001</v>
      </c>
      <c r="K40" s="7">
        <f t="shared" si="11"/>
        <v>3346933478400</v>
      </c>
      <c r="L40" s="8">
        <f t="shared" si="12"/>
        <v>581.04</v>
      </c>
      <c r="M40" s="8">
        <f t="shared" si="13"/>
        <v>48.42</v>
      </c>
      <c r="N40" s="109">
        <f t="shared" si="14"/>
        <v>7.553520000000001</v>
      </c>
      <c r="O40" s="109">
        <f t="shared" si="15"/>
        <v>7.553520000000001</v>
      </c>
      <c r="P40" s="109">
        <f t="shared" si="16"/>
      </c>
      <c r="Q40" s="24">
        <f t="shared" si="17"/>
      </c>
      <c r="R40" s="22">
        <v>-0.0015211587536231883</v>
      </c>
      <c r="S40" s="52">
        <v>0.027777777777777776</v>
      </c>
      <c r="T40" s="69" t="str">
        <f t="shared" si="18"/>
        <v>***</v>
      </c>
      <c r="U40" s="68">
        <f t="shared" si="19"/>
      </c>
      <c r="V40" s="62" t="str">
        <f aca="true" t="shared" si="22" ref="V40:V71">IF(OR(A40="",YEAR(A40)&lt;YEAR(V$4),YEAR(A40)&gt;YEAR(V$6)),"","***")</f>
        <v>***</v>
      </c>
      <c r="W40" s="47">
        <f t="shared" si="20"/>
        <v>79</v>
      </c>
      <c r="X40" s="47">
        <f t="shared" si="21"/>
        <v>7.553520000000001</v>
      </c>
      <c r="Y40" s="56">
        <f t="shared" si="4"/>
      </c>
      <c r="Z40" s="56">
        <f t="shared" si="5"/>
      </c>
      <c r="AA40" s="56">
        <f t="shared" si="6"/>
      </c>
      <c r="AB40" s="56">
        <f t="shared" si="7"/>
        <v>7.553520000000001</v>
      </c>
      <c r="AC40" s="56">
        <f t="shared" si="8"/>
      </c>
    </row>
    <row r="41" spans="1:29" ht="15">
      <c r="A41" s="82">
        <v>34562</v>
      </c>
      <c r="B41" s="83">
        <v>0.6666666666666666</v>
      </c>
      <c r="C41" s="37">
        <v>37</v>
      </c>
      <c r="D41" s="21">
        <v>0.783</v>
      </c>
      <c r="E41" s="12">
        <f t="shared" si="9"/>
        <v>78.3</v>
      </c>
      <c r="F41" s="10">
        <v>82</v>
      </c>
      <c r="G41" s="10">
        <v>2000</v>
      </c>
      <c r="H41" s="80">
        <v>0.4</v>
      </c>
      <c r="I41" s="54">
        <v>0.4</v>
      </c>
      <c r="J41" s="8">
        <f t="shared" si="10"/>
        <v>8.16146</v>
      </c>
      <c r="K41" s="7">
        <f t="shared" si="11"/>
        <v>1810475712000</v>
      </c>
      <c r="L41" s="8">
        <f t="shared" si="12"/>
        <v>79.624</v>
      </c>
      <c r="M41" s="8">
        <f t="shared" si="13"/>
        <v>79.624</v>
      </c>
      <c r="N41" s="109">
        <f t="shared" si="14"/>
        <v>8.16146</v>
      </c>
      <c r="O41" s="109">
        <f t="shared" si="15"/>
        <v>8.16146</v>
      </c>
      <c r="P41" s="109">
        <f t="shared" si="16"/>
      </c>
      <c r="Q41" s="24">
        <f t="shared" si="17"/>
        <v>4.000000000038451</v>
      </c>
      <c r="R41" s="22">
        <v>0.006084635014492753</v>
      </c>
      <c r="S41" s="52">
        <v>0.10810810810810811</v>
      </c>
      <c r="T41" s="69" t="str">
        <f t="shared" si="18"/>
        <v>***</v>
      </c>
      <c r="U41" s="68">
        <f t="shared" si="19"/>
      </c>
      <c r="V41" s="62" t="str">
        <f t="shared" si="22"/>
        <v>***</v>
      </c>
      <c r="W41" s="47">
        <f t="shared" si="20"/>
        <v>78.3</v>
      </c>
      <c r="X41" s="47">
        <f t="shared" si="21"/>
        <v>8.16146</v>
      </c>
      <c r="Y41" s="56">
        <f t="shared" si="4"/>
      </c>
      <c r="Z41" s="56">
        <f t="shared" si="5"/>
      </c>
      <c r="AA41" s="56">
        <f t="shared" si="6"/>
      </c>
      <c r="AB41" s="56">
        <f t="shared" si="7"/>
        <v>8.16146</v>
      </c>
      <c r="AC41" s="56">
        <f t="shared" si="8"/>
      </c>
    </row>
    <row r="42" spans="1:29" ht="15">
      <c r="A42" s="82">
        <v>34599</v>
      </c>
      <c r="B42" s="83">
        <v>0.75</v>
      </c>
      <c r="C42" s="37">
        <v>18</v>
      </c>
      <c r="D42" s="21">
        <v>0.958</v>
      </c>
      <c r="E42" s="12">
        <f t="shared" si="9"/>
        <v>95.8</v>
      </c>
      <c r="F42" s="10">
        <v>72</v>
      </c>
      <c r="G42" s="10">
        <v>1700</v>
      </c>
      <c r="H42" s="80">
        <v>0.1</v>
      </c>
      <c r="I42" s="54">
        <v>0.26</v>
      </c>
      <c r="J42" s="8">
        <f t="shared" si="10"/>
        <v>3.48624</v>
      </c>
      <c r="K42" s="7">
        <f t="shared" si="11"/>
        <v>748656172800</v>
      </c>
      <c r="L42" s="8">
        <f t="shared" si="12"/>
        <v>9.684</v>
      </c>
      <c r="M42" s="8">
        <f t="shared" si="13"/>
        <v>25.178399999999996</v>
      </c>
      <c r="N42" s="109">
        <f t="shared" si="14"/>
        <v>3.48624</v>
      </c>
      <c r="O42" s="109">
        <f t="shared" si="15"/>
        <v>3.48624</v>
      </c>
      <c r="P42" s="109">
        <f t="shared" si="16"/>
      </c>
      <c r="Q42" s="24">
        <f t="shared" si="17"/>
        <v>1.0000000000096128</v>
      </c>
      <c r="R42" s="22">
        <v>0.0015211587536231883</v>
      </c>
      <c r="S42" s="52">
        <v>0.1111111111111111</v>
      </c>
      <c r="T42" s="69" t="str">
        <f t="shared" si="18"/>
        <v>***</v>
      </c>
      <c r="U42" s="68">
        <f t="shared" si="19"/>
      </c>
      <c r="V42" s="62" t="str">
        <f t="shared" si="22"/>
        <v>***</v>
      </c>
      <c r="W42" s="47">
        <f t="shared" si="20"/>
        <v>95.8</v>
      </c>
      <c r="X42" s="47">
        <f t="shared" si="21"/>
        <v>3.48624</v>
      </c>
      <c r="Y42" s="56">
        <f t="shared" si="4"/>
      </c>
      <c r="Z42" s="56">
        <f t="shared" si="5"/>
      </c>
      <c r="AA42" s="56">
        <f t="shared" si="6"/>
      </c>
      <c r="AB42" s="56">
        <f t="shared" si="7"/>
      </c>
      <c r="AC42" s="56">
        <f t="shared" si="8"/>
        <v>3.48624</v>
      </c>
    </row>
    <row r="43" spans="1:29" ht="15">
      <c r="A43" s="82">
        <v>34619</v>
      </c>
      <c r="B43" s="83">
        <v>0.548611111111111</v>
      </c>
      <c r="C43" s="37">
        <v>18</v>
      </c>
      <c r="D43" s="21">
        <v>0.958</v>
      </c>
      <c r="E43" s="12">
        <f t="shared" si="9"/>
        <v>95.8</v>
      </c>
      <c r="F43" s="10">
        <v>35</v>
      </c>
      <c r="G43" s="10">
        <v>50</v>
      </c>
      <c r="H43" s="80">
        <v>0.1</v>
      </c>
      <c r="I43" s="54">
        <v>0.24</v>
      </c>
      <c r="J43" s="8">
        <f t="shared" si="10"/>
        <v>1.6947</v>
      </c>
      <c r="K43" s="7">
        <f t="shared" si="11"/>
        <v>22019299200</v>
      </c>
      <c r="L43" s="8">
        <f t="shared" si="12"/>
        <v>9.684</v>
      </c>
      <c r="M43" s="8">
        <f t="shared" si="13"/>
        <v>23.241600000000002</v>
      </c>
      <c r="N43" s="109">
        <f t="shared" si="14"/>
        <v>1.6947</v>
      </c>
      <c r="O43" s="109">
        <f t="shared" si="15"/>
        <v>1.6947</v>
      </c>
      <c r="P43" s="109">
        <f t="shared" si="16"/>
      </c>
      <c r="Q43" s="24">
        <f t="shared" si="17"/>
      </c>
      <c r="R43" s="22">
        <v>-0.0015211587536231883</v>
      </c>
      <c r="S43" s="52">
        <v>0.05555555555555555</v>
      </c>
      <c r="T43" s="69" t="str">
        <f t="shared" si="18"/>
        <v>***</v>
      </c>
      <c r="U43" s="68">
        <f t="shared" si="19"/>
      </c>
      <c r="V43" s="62" t="str">
        <f t="shared" si="22"/>
        <v>***</v>
      </c>
      <c r="W43" s="47">
        <f t="shared" si="20"/>
        <v>95.8</v>
      </c>
      <c r="X43" s="47">
        <f t="shared" si="21"/>
        <v>1.6947</v>
      </c>
      <c r="Y43" s="56">
        <f t="shared" si="4"/>
      </c>
      <c r="Z43" s="56">
        <f t="shared" si="5"/>
      </c>
      <c r="AA43" s="56">
        <f t="shared" si="6"/>
      </c>
      <c r="AB43" s="56">
        <f t="shared" si="7"/>
      </c>
      <c r="AC43" s="56">
        <f t="shared" si="8"/>
        <v>1.6947</v>
      </c>
    </row>
    <row r="44" spans="1:29" ht="15">
      <c r="A44" s="82">
        <v>34667</v>
      </c>
      <c r="B44" s="83">
        <v>0.47222222222222227</v>
      </c>
      <c r="C44" s="37">
        <v>64</v>
      </c>
      <c r="D44" s="21">
        <v>0.659</v>
      </c>
      <c r="E44" s="12">
        <f t="shared" si="9"/>
        <v>65.9</v>
      </c>
      <c r="F44" s="10">
        <v>20</v>
      </c>
      <c r="G44" s="10">
        <v>11000</v>
      </c>
      <c r="H44" s="80">
        <v>1.7</v>
      </c>
      <c r="I44" s="54">
        <v>0.28</v>
      </c>
      <c r="J44" s="8">
        <f t="shared" si="10"/>
        <v>3.4432</v>
      </c>
      <c r="K44" s="7">
        <f t="shared" si="11"/>
        <v>17223985152000</v>
      </c>
      <c r="L44" s="8">
        <f t="shared" si="12"/>
        <v>585.3439999999999</v>
      </c>
      <c r="M44" s="8">
        <f t="shared" si="13"/>
        <v>96.40960000000001</v>
      </c>
      <c r="N44" s="109">
        <f t="shared" si="14"/>
        <v>3.4432</v>
      </c>
      <c r="O44" s="109">
        <f t="shared" si="15"/>
      </c>
      <c r="P44" s="109">
        <f t="shared" si="16"/>
        <v>3.4432</v>
      </c>
      <c r="Q44" s="24">
        <f t="shared" si="17"/>
        <v>15.000000000144192</v>
      </c>
      <c r="R44" s="22">
        <v>0.022817381304347826</v>
      </c>
      <c r="S44" s="52">
        <v>0.703125</v>
      </c>
      <c r="T44" s="69">
        <f t="shared" si="18"/>
      </c>
      <c r="U44" s="68" t="str">
        <f t="shared" si="19"/>
        <v>***</v>
      </c>
      <c r="V44" s="62" t="str">
        <f t="shared" si="22"/>
        <v>***</v>
      </c>
      <c r="W44" s="47">
        <f t="shared" si="20"/>
        <v>65.9</v>
      </c>
      <c r="X44" s="47">
        <f t="shared" si="21"/>
        <v>3.4432</v>
      </c>
      <c r="Y44" s="56">
        <f t="shared" si="4"/>
      </c>
      <c r="Z44" s="56">
        <f t="shared" si="5"/>
      </c>
      <c r="AA44" s="56">
        <f t="shared" si="6"/>
      </c>
      <c r="AB44" s="56">
        <f t="shared" si="7"/>
        <v>3.4432</v>
      </c>
      <c r="AC44" s="56">
        <f t="shared" si="8"/>
      </c>
    </row>
    <row r="45" spans="1:29" ht="15">
      <c r="A45" s="82">
        <v>34724</v>
      </c>
      <c r="B45" s="83">
        <v>0.47222222222222227</v>
      </c>
      <c r="C45" s="37">
        <v>540</v>
      </c>
      <c r="D45" s="21">
        <v>0.245</v>
      </c>
      <c r="E45" s="12">
        <f t="shared" si="9"/>
        <v>24.5</v>
      </c>
      <c r="F45" s="10">
        <v>25</v>
      </c>
      <c r="G45" s="10">
        <v>600</v>
      </c>
      <c r="H45" s="80">
        <v>11</v>
      </c>
      <c r="I45" s="54">
        <v>0.28</v>
      </c>
      <c r="J45" s="8">
        <f t="shared" si="10"/>
        <v>36.315000000000005</v>
      </c>
      <c r="K45" s="7">
        <f t="shared" si="11"/>
        <v>7926947712000</v>
      </c>
      <c r="L45" s="8">
        <f t="shared" si="12"/>
        <v>31957.2</v>
      </c>
      <c r="M45" s="8">
        <f t="shared" si="13"/>
        <v>813.4560000000001</v>
      </c>
      <c r="N45" s="109">
        <f t="shared" si="14"/>
        <v>36.315000000000005</v>
      </c>
      <c r="O45" s="109">
        <f t="shared" si="15"/>
      </c>
      <c r="P45" s="109">
        <f t="shared" si="16"/>
      </c>
      <c r="Q45" s="24">
        <f t="shared" si="17"/>
      </c>
      <c r="R45" s="22">
        <v>-0.21296222550724636</v>
      </c>
      <c r="S45" s="52">
        <v>0.4444444444444444</v>
      </c>
      <c r="T45" s="69">
        <f t="shared" si="18"/>
      </c>
      <c r="U45" s="68">
        <f t="shared" si="19"/>
      </c>
      <c r="V45" s="62" t="str">
        <f t="shared" si="22"/>
        <v>***</v>
      </c>
      <c r="W45" s="47">
        <f t="shared" si="20"/>
        <v>24.5</v>
      </c>
      <c r="X45" s="47">
        <f t="shared" si="21"/>
        <v>36.315000000000005</v>
      </c>
      <c r="Y45" s="56">
        <f t="shared" si="4"/>
      </c>
      <c r="Z45" s="56">
        <f t="shared" si="5"/>
        <v>36.315000000000005</v>
      </c>
      <c r="AA45" s="56">
        <f t="shared" si="6"/>
      </c>
      <c r="AB45" s="56">
        <f t="shared" si="7"/>
      </c>
      <c r="AC45" s="56">
        <f t="shared" si="8"/>
      </c>
    </row>
    <row r="46" spans="1:29" ht="15">
      <c r="A46" s="82">
        <v>34780</v>
      </c>
      <c r="B46" s="83">
        <v>0.59375</v>
      </c>
      <c r="C46" s="37">
        <v>180</v>
      </c>
      <c r="D46" s="21">
        <v>0.43600000000000005</v>
      </c>
      <c r="E46" s="12">
        <f t="shared" si="9"/>
        <v>43.60000000000001</v>
      </c>
      <c r="F46" s="10">
        <v>39</v>
      </c>
      <c r="G46" s="10" t="s">
        <v>50</v>
      </c>
      <c r="H46" s="80">
        <v>5</v>
      </c>
      <c r="I46" s="54">
        <v>0.15</v>
      </c>
      <c r="J46" s="8">
        <f t="shared" si="10"/>
        <v>18.8838</v>
      </c>
      <c r="K46" s="7">
        <f t="shared" si="11"/>
      </c>
      <c r="L46" s="8">
        <f t="shared" si="12"/>
        <v>4842</v>
      </c>
      <c r="M46" s="8">
        <f t="shared" si="13"/>
        <v>145.26</v>
      </c>
      <c r="N46" s="109">
        <f t="shared" si="14"/>
        <v>18.8838</v>
      </c>
      <c r="O46" s="109">
        <f t="shared" si="15"/>
      </c>
      <c r="P46" s="109">
        <f t="shared" si="16"/>
      </c>
      <c r="Q46" s="24">
        <f t="shared" si="17"/>
      </c>
      <c r="R46" s="22">
        <v>-0.038028968840579706</v>
      </c>
      <c r="S46" s="52">
        <v>0.29444444444444445</v>
      </c>
      <c r="T46" s="69">
        <f t="shared" si="18"/>
      </c>
      <c r="U46" s="68">
        <f t="shared" si="19"/>
      </c>
      <c r="V46" s="62" t="str">
        <f t="shared" si="22"/>
        <v>***</v>
      </c>
      <c r="W46" s="47">
        <f t="shared" si="20"/>
        <v>43.60000000000001</v>
      </c>
      <c r="X46" s="47">
        <f t="shared" si="21"/>
        <v>18.8838</v>
      </c>
      <c r="Y46" s="56">
        <f t="shared" si="4"/>
      </c>
      <c r="Z46" s="56">
        <f t="shared" si="5"/>
      </c>
      <c r="AA46" s="56">
        <f t="shared" si="6"/>
        <v>18.8838</v>
      </c>
      <c r="AB46" s="56">
        <f t="shared" si="7"/>
      </c>
      <c r="AC46" s="56">
        <f t="shared" si="8"/>
      </c>
    </row>
    <row r="47" spans="1:29" ht="15">
      <c r="A47" s="82">
        <v>34823</v>
      </c>
      <c r="B47" s="83">
        <v>0.5659722222222222</v>
      </c>
      <c r="C47" s="37">
        <v>128</v>
      </c>
      <c r="D47" s="21">
        <v>0.507</v>
      </c>
      <c r="E47" s="12">
        <f t="shared" si="9"/>
        <v>50.7</v>
      </c>
      <c r="F47" s="10">
        <v>48</v>
      </c>
      <c r="G47" s="10">
        <v>110</v>
      </c>
      <c r="H47" s="80">
        <v>4.2</v>
      </c>
      <c r="I47" s="54">
        <v>0.13</v>
      </c>
      <c r="J47" s="8">
        <f t="shared" si="10"/>
        <v>16.52736</v>
      </c>
      <c r="K47" s="7">
        <f t="shared" si="11"/>
        <v>344479703040</v>
      </c>
      <c r="L47" s="8">
        <f t="shared" si="12"/>
        <v>2892.288</v>
      </c>
      <c r="M47" s="8">
        <f t="shared" si="13"/>
        <v>89.5232</v>
      </c>
      <c r="N47" s="109">
        <f t="shared" si="14"/>
        <v>16.52736</v>
      </c>
      <c r="O47" s="109">
        <f t="shared" si="15"/>
      </c>
      <c r="P47" s="109">
        <f t="shared" si="16"/>
      </c>
      <c r="Q47" s="24">
        <f t="shared" si="17"/>
      </c>
      <c r="R47" s="22">
        <v>-0.015211587536231882</v>
      </c>
      <c r="S47" s="52">
        <v>0.2109375</v>
      </c>
      <c r="T47" s="69">
        <f t="shared" si="18"/>
      </c>
      <c r="U47" s="68">
        <f t="shared" si="19"/>
      </c>
      <c r="V47" s="62" t="str">
        <f t="shared" si="22"/>
        <v>***</v>
      </c>
      <c r="W47" s="47">
        <f t="shared" si="20"/>
        <v>50.7</v>
      </c>
      <c r="X47" s="47">
        <f t="shared" si="21"/>
        <v>16.52736</v>
      </c>
      <c r="Y47" s="56">
        <f t="shared" si="4"/>
      </c>
      <c r="Z47" s="56">
        <f t="shared" si="5"/>
      </c>
      <c r="AA47" s="56">
        <f t="shared" si="6"/>
        <v>16.52736</v>
      </c>
      <c r="AB47" s="56">
        <f t="shared" si="7"/>
      </c>
      <c r="AC47" s="56">
        <f t="shared" si="8"/>
      </c>
    </row>
    <row r="48" spans="1:29" ht="15">
      <c r="A48" s="82">
        <v>34851</v>
      </c>
      <c r="B48" s="83">
        <v>0.4583333333333333</v>
      </c>
      <c r="C48" s="37">
        <v>290</v>
      </c>
      <c r="D48" s="21">
        <v>0.346</v>
      </c>
      <c r="E48" s="12">
        <f t="shared" si="9"/>
        <v>34.599999999999994</v>
      </c>
      <c r="F48" s="10">
        <v>86</v>
      </c>
      <c r="G48" s="10">
        <v>210</v>
      </c>
      <c r="H48" s="80">
        <v>8.4</v>
      </c>
      <c r="I48" s="54">
        <v>0.19</v>
      </c>
      <c r="J48" s="8">
        <f t="shared" si="10"/>
        <v>67.0886</v>
      </c>
      <c r="K48" s="7">
        <f t="shared" si="11"/>
        <v>1489972579200</v>
      </c>
      <c r="L48" s="8">
        <f t="shared" si="12"/>
        <v>13105.68</v>
      </c>
      <c r="M48" s="8">
        <f t="shared" si="13"/>
        <v>296.438</v>
      </c>
      <c r="N48" s="109">
        <f t="shared" si="14"/>
        <v>67.0886</v>
      </c>
      <c r="O48" s="109">
        <f t="shared" si="15"/>
        <v>67.0886</v>
      </c>
      <c r="P48" s="109">
        <f t="shared" si="16"/>
      </c>
      <c r="Q48" s="24">
        <f t="shared" si="17"/>
        <v>4.000000000038451</v>
      </c>
      <c r="R48" s="22">
        <v>0.006084635014492753</v>
      </c>
      <c r="S48" s="52">
        <v>0.013793103448275862</v>
      </c>
      <c r="T48" s="69" t="str">
        <f t="shared" si="18"/>
        <v>***</v>
      </c>
      <c r="U48" s="68">
        <f t="shared" si="19"/>
      </c>
      <c r="V48" s="62" t="str">
        <f t="shared" si="22"/>
        <v>***</v>
      </c>
      <c r="W48" s="47">
        <f t="shared" si="20"/>
        <v>34.599999999999994</v>
      </c>
      <c r="X48" s="47">
        <f t="shared" si="21"/>
        <v>67.0886</v>
      </c>
      <c r="Y48" s="56">
        <f t="shared" si="4"/>
      </c>
      <c r="Z48" s="56">
        <f t="shared" si="5"/>
        <v>67.0886</v>
      </c>
      <c r="AA48" s="56">
        <f t="shared" si="6"/>
      </c>
      <c r="AB48" s="56">
        <f t="shared" si="7"/>
      </c>
      <c r="AC48" s="56">
        <f t="shared" si="8"/>
      </c>
    </row>
    <row r="49" spans="1:29" ht="15">
      <c r="A49" s="82">
        <v>34885</v>
      </c>
      <c r="B49" s="83">
        <v>0.576388888888889</v>
      </c>
      <c r="C49" s="37">
        <v>250</v>
      </c>
      <c r="D49" s="21">
        <v>0.374</v>
      </c>
      <c r="E49" s="12">
        <f t="shared" si="9"/>
        <v>37.4</v>
      </c>
      <c r="F49" s="10">
        <v>92</v>
      </c>
      <c r="G49" s="10">
        <v>530</v>
      </c>
      <c r="H49" s="80">
        <v>5.4</v>
      </c>
      <c r="I49" s="54">
        <v>0.22</v>
      </c>
      <c r="J49" s="8">
        <f t="shared" si="10"/>
        <v>61.870000000000005</v>
      </c>
      <c r="K49" s="7">
        <f t="shared" si="11"/>
        <v>3241730160000</v>
      </c>
      <c r="L49" s="8">
        <f t="shared" si="12"/>
        <v>7263</v>
      </c>
      <c r="M49" s="8">
        <f t="shared" si="13"/>
        <v>295.9</v>
      </c>
      <c r="N49" s="109">
        <f t="shared" si="14"/>
        <v>61.870000000000005</v>
      </c>
      <c r="O49" s="109">
        <f t="shared" si="15"/>
        <v>61.870000000000005</v>
      </c>
      <c r="P49" s="109">
        <f t="shared" si="16"/>
        <v>61.870000000000005</v>
      </c>
      <c r="Q49" s="24">
        <f t="shared" si="17"/>
      </c>
      <c r="R49" s="22">
        <v>-0.153637034115942</v>
      </c>
      <c r="S49" s="52">
        <v>0.568</v>
      </c>
      <c r="T49" s="69" t="str">
        <f t="shared" si="18"/>
        <v>***</v>
      </c>
      <c r="U49" s="68" t="str">
        <f t="shared" si="19"/>
        <v>***</v>
      </c>
      <c r="V49" s="62" t="str">
        <f t="shared" si="22"/>
        <v>***</v>
      </c>
      <c r="W49" s="47">
        <f t="shared" si="20"/>
        <v>37.4</v>
      </c>
      <c r="X49" s="47">
        <f t="shared" si="21"/>
        <v>61.870000000000005</v>
      </c>
      <c r="Y49" s="56">
        <f t="shared" si="4"/>
      </c>
      <c r="Z49" s="56">
        <f t="shared" si="5"/>
        <v>61.870000000000005</v>
      </c>
      <c r="AA49" s="56">
        <f t="shared" si="6"/>
      </c>
      <c r="AB49" s="56">
        <f t="shared" si="7"/>
      </c>
      <c r="AC49" s="56">
        <f t="shared" si="8"/>
      </c>
    </row>
    <row r="50" spans="1:29" ht="15">
      <c r="A50" s="82">
        <v>34900</v>
      </c>
      <c r="B50" s="83">
        <v>0.4861111111111111</v>
      </c>
      <c r="C50" s="37">
        <v>51</v>
      </c>
      <c r="D50" s="21">
        <v>0.705</v>
      </c>
      <c r="E50" s="12">
        <f t="shared" si="9"/>
        <v>70.5</v>
      </c>
      <c r="F50" s="10">
        <v>77</v>
      </c>
      <c r="G50" s="10">
        <v>390</v>
      </c>
      <c r="H50" s="80">
        <v>0.8</v>
      </c>
      <c r="I50" s="54">
        <v>0.34</v>
      </c>
      <c r="J50" s="8">
        <f t="shared" si="10"/>
        <v>10.56363</v>
      </c>
      <c r="K50" s="7">
        <f t="shared" si="11"/>
        <v>486626512320</v>
      </c>
      <c r="L50" s="8">
        <f t="shared" si="12"/>
        <v>219.50400000000002</v>
      </c>
      <c r="M50" s="8">
        <f t="shared" si="13"/>
        <v>93.2892</v>
      </c>
      <c r="N50" s="109">
        <f t="shared" si="14"/>
        <v>10.56363</v>
      </c>
      <c r="O50" s="109">
        <f t="shared" si="15"/>
        <v>10.56363</v>
      </c>
      <c r="P50" s="109">
        <f t="shared" si="16"/>
      </c>
      <c r="Q50" s="24">
        <f t="shared" si="17"/>
      </c>
      <c r="R50" s="22">
        <v>-0.021296222550724636</v>
      </c>
      <c r="S50" s="52">
        <v>0</v>
      </c>
      <c r="T50" s="69" t="str">
        <f t="shared" si="18"/>
        <v>***</v>
      </c>
      <c r="U50" s="68">
        <f t="shared" si="19"/>
      </c>
      <c r="V50" s="62" t="str">
        <f t="shared" si="22"/>
        <v>***</v>
      </c>
      <c r="W50" s="47">
        <f t="shared" si="20"/>
        <v>70.5</v>
      </c>
      <c r="X50" s="47">
        <f t="shared" si="21"/>
        <v>10.56363</v>
      </c>
      <c r="Y50" s="56">
        <f t="shared" si="4"/>
      </c>
      <c r="Z50" s="56">
        <f t="shared" si="5"/>
      </c>
      <c r="AA50" s="56">
        <f t="shared" si="6"/>
      </c>
      <c r="AB50" s="56">
        <f t="shared" si="7"/>
        <v>10.56363</v>
      </c>
      <c r="AC50" s="56">
        <f t="shared" si="8"/>
      </c>
    </row>
    <row r="51" spans="1:29" ht="15">
      <c r="A51" s="82">
        <v>34939</v>
      </c>
      <c r="B51" s="83">
        <v>0.4826388888888889</v>
      </c>
      <c r="C51" s="37">
        <v>42</v>
      </c>
      <c r="D51" s="21">
        <v>0.751</v>
      </c>
      <c r="E51" s="12">
        <f t="shared" si="9"/>
        <v>75.1</v>
      </c>
      <c r="F51" s="10">
        <v>38</v>
      </c>
      <c r="G51" s="10">
        <v>1400</v>
      </c>
      <c r="H51" s="80">
        <v>0.4</v>
      </c>
      <c r="I51" s="54">
        <v>0.26</v>
      </c>
      <c r="J51" s="8">
        <f t="shared" si="10"/>
        <v>4.29324</v>
      </c>
      <c r="K51" s="7">
        <f t="shared" si="11"/>
        <v>1438594214400</v>
      </c>
      <c r="L51" s="8">
        <f t="shared" si="12"/>
        <v>90.384</v>
      </c>
      <c r="M51" s="8">
        <f t="shared" si="13"/>
        <v>58.7496</v>
      </c>
      <c r="N51" s="109">
        <f t="shared" si="14"/>
        <v>4.29324</v>
      </c>
      <c r="O51" s="109">
        <f t="shared" si="15"/>
        <v>4.29324</v>
      </c>
      <c r="P51" s="109">
        <f t="shared" si="16"/>
      </c>
      <c r="Q51" s="24">
        <f t="shared" si="17"/>
      </c>
      <c r="R51" s="22">
        <v>-0.006084635014492753</v>
      </c>
      <c r="S51" s="52">
        <v>0.07142857142857142</v>
      </c>
      <c r="T51" s="69" t="str">
        <f t="shared" si="18"/>
        <v>***</v>
      </c>
      <c r="U51" s="68">
        <f t="shared" si="19"/>
      </c>
      <c r="V51" s="62" t="str">
        <f t="shared" si="22"/>
        <v>***</v>
      </c>
      <c r="W51" s="47">
        <f t="shared" si="20"/>
        <v>75.1</v>
      </c>
      <c r="X51" s="47">
        <f t="shared" si="21"/>
        <v>4.29324</v>
      </c>
      <c r="Y51" s="56">
        <f t="shared" si="4"/>
      </c>
      <c r="Z51" s="56">
        <f t="shared" si="5"/>
      </c>
      <c r="AA51" s="56">
        <f t="shared" si="6"/>
      </c>
      <c r="AB51" s="56">
        <f t="shared" si="7"/>
        <v>4.29324</v>
      </c>
      <c r="AC51" s="56">
        <f t="shared" si="8"/>
      </c>
    </row>
    <row r="52" spans="1:29" ht="15">
      <c r="A52" s="82">
        <v>34962</v>
      </c>
      <c r="B52" s="83">
        <v>0.6736111111111112</v>
      </c>
      <c r="C52" s="37">
        <v>33</v>
      </c>
      <c r="D52" s="21">
        <v>0.8140000000000001</v>
      </c>
      <c r="E52" s="12">
        <f t="shared" si="9"/>
        <v>81.4</v>
      </c>
      <c r="F52" s="10">
        <v>68</v>
      </c>
      <c r="G52" s="10">
        <v>460</v>
      </c>
      <c r="H52" s="80">
        <v>0.4</v>
      </c>
      <c r="I52" s="54">
        <v>0.27</v>
      </c>
      <c r="J52" s="8">
        <f t="shared" si="10"/>
        <v>6.03636</v>
      </c>
      <c r="K52" s="7">
        <f t="shared" si="11"/>
        <v>371392179840</v>
      </c>
      <c r="L52" s="8">
        <f t="shared" si="12"/>
        <v>71.016</v>
      </c>
      <c r="M52" s="8">
        <f t="shared" si="13"/>
        <v>47.9358</v>
      </c>
      <c r="N52" s="109">
        <f t="shared" si="14"/>
        <v>6.03636</v>
      </c>
      <c r="O52" s="109">
        <f t="shared" si="15"/>
        <v>6.03636</v>
      </c>
      <c r="P52" s="109">
        <f t="shared" si="16"/>
      </c>
      <c r="Q52" s="24">
        <f t="shared" si="17"/>
      </c>
      <c r="R52" s="22">
        <v>-0.004563476260869565</v>
      </c>
      <c r="S52" s="52">
        <v>0.09090909090909091</v>
      </c>
      <c r="T52" s="69" t="str">
        <f t="shared" si="18"/>
        <v>***</v>
      </c>
      <c r="U52" s="68">
        <f t="shared" si="19"/>
      </c>
      <c r="V52" s="62" t="str">
        <f t="shared" si="22"/>
        <v>***</v>
      </c>
      <c r="W52" s="47">
        <f t="shared" si="20"/>
        <v>81.4</v>
      </c>
      <c r="X52" s="47">
        <f t="shared" si="21"/>
        <v>6.03636</v>
      </c>
      <c r="Y52" s="56">
        <f t="shared" si="4"/>
      </c>
      <c r="Z52" s="56">
        <f t="shared" si="5"/>
      </c>
      <c r="AA52" s="56">
        <f t="shared" si="6"/>
      </c>
      <c r="AB52" s="56">
        <f t="shared" si="7"/>
        <v>6.03636</v>
      </c>
      <c r="AC52" s="56">
        <f t="shared" si="8"/>
      </c>
    </row>
    <row r="53" spans="1:29" ht="15">
      <c r="A53" s="82">
        <v>34990</v>
      </c>
      <c r="B53" s="83">
        <v>0.7083333333333334</v>
      </c>
      <c r="C53" s="37">
        <v>55</v>
      </c>
      <c r="D53" s="21">
        <v>0.69</v>
      </c>
      <c r="E53" s="12">
        <f t="shared" si="9"/>
        <v>69</v>
      </c>
      <c r="F53" s="10">
        <v>25</v>
      </c>
      <c r="G53" s="10">
        <v>100</v>
      </c>
      <c r="H53" s="80">
        <v>1.4</v>
      </c>
      <c r="I53" s="54">
        <v>0.18</v>
      </c>
      <c r="J53" s="8">
        <f t="shared" si="10"/>
        <v>3.69875</v>
      </c>
      <c r="K53" s="7">
        <f t="shared" si="11"/>
        <v>134562384000</v>
      </c>
      <c r="L53" s="8">
        <f t="shared" si="12"/>
        <v>414.26</v>
      </c>
      <c r="M53" s="8">
        <f t="shared" si="13"/>
        <v>53.262</v>
      </c>
      <c r="N53" s="109">
        <f t="shared" si="14"/>
        <v>3.69875</v>
      </c>
      <c r="O53" s="109">
        <f t="shared" si="15"/>
        <v>3.69875</v>
      </c>
      <c r="P53" s="109">
        <f t="shared" si="16"/>
      </c>
      <c r="Q53" s="24">
        <f t="shared" si="17"/>
      </c>
      <c r="R53" s="22">
        <v>-0.00912695252173913</v>
      </c>
      <c r="S53" s="52">
        <v>0.07272727272727272</v>
      </c>
      <c r="T53" s="69" t="str">
        <f t="shared" si="18"/>
        <v>***</v>
      </c>
      <c r="U53" s="68">
        <f t="shared" si="19"/>
      </c>
      <c r="V53" s="62" t="str">
        <f t="shared" si="22"/>
        <v>***</v>
      </c>
      <c r="W53" s="47">
        <f t="shared" si="20"/>
        <v>69</v>
      </c>
      <c r="X53" s="47">
        <f t="shared" si="21"/>
        <v>3.69875</v>
      </c>
      <c r="Y53" s="56">
        <f t="shared" si="4"/>
      </c>
      <c r="Z53" s="56">
        <f t="shared" si="5"/>
      </c>
      <c r="AA53" s="56">
        <f t="shared" si="6"/>
      </c>
      <c r="AB53" s="56">
        <f t="shared" si="7"/>
        <v>3.69875</v>
      </c>
      <c r="AC53" s="56">
        <f t="shared" si="8"/>
      </c>
    </row>
    <row r="54" spans="1:29" ht="15">
      <c r="A54" s="82">
        <v>35024</v>
      </c>
      <c r="B54" s="83">
        <v>0.6909722222222222</v>
      </c>
      <c r="C54" s="37">
        <v>355</v>
      </c>
      <c r="D54" s="21">
        <v>0.31100000000000005</v>
      </c>
      <c r="E54" s="12">
        <f t="shared" si="9"/>
        <v>31.100000000000005</v>
      </c>
      <c r="F54" s="10">
        <v>30</v>
      </c>
      <c r="G54" s="10">
        <v>500</v>
      </c>
      <c r="H54" s="80">
        <v>6.8</v>
      </c>
      <c r="I54" s="54">
        <v>0.24</v>
      </c>
      <c r="J54" s="8">
        <f t="shared" si="10"/>
        <v>28.648500000000002</v>
      </c>
      <c r="K54" s="7">
        <f t="shared" si="11"/>
        <v>4342695120000</v>
      </c>
      <c r="L54" s="8">
        <f t="shared" si="12"/>
        <v>12987.32</v>
      </c>
      <c r="M54" s="8">
        <f t="shared" si="13"/>
        <v>458.37600000000003</v>
      </c>
      <c r="N54" s="109">
        <f t="shared" si="14"/>
        <v>28.648500000000002</v>
      </c>
      <c r="O54" s="109">
        <f t="shared" si="15"/>
      </c>
      <c r="P54" s="109">
        <f t="shared" si="16"/>
      </c>
      <c r="Q54" s="24">
        <f t="shared" si="17"/>
        <v>4.000000000038451</v>
      </c>
      <c r="R54" s="22">
        <v>0.006084635014492753</v>
      </c>
      <c r="S54" s="52">
        <v>0.3295774647887324</v>
      </c>
      <c r="T54" s="69">
        <f t="shared" si="18"/>
      </c>
      <c r="U54" s="68">
        <f t="shared" si="19"/>
      </c>
      <c r="V54" s="62" t="str">
        <f t="shared" si="22"/>
        <v>***</v>
      </c>
      <c r="W54" s="47">
        <f t="shared" si="20"/>
        <v>31.100000000000005</v>
      </c>
      <c r="X54" s="47">
        <f t="shared" si="21"/>
        <v>28.648500000000002</v>
      </c>
      <c r="Y54" s="56">
        <f t="shared" si="4"/>
      </c>
      <c r="Z54" s="56">
        <f t="shared" si="5"/>
        <v>28.648500000000002</v>
      </c>
      <c r="AA54" s="56">
        <f t="shared" si="6"/>
      </c>
      <c r="AB54" s="56">
        <f t="shared" si="7"/>
      </c>
      <c r="AC54" s="56">
        <f t="shared" si="8"/>
      </c>
    </row>
    <row r="55" spans="1:29" ht="15">
      <c r="A55" s="82">
        <v>35047</v>
      </c>
      <c r="B55" s="83">
        <v>0.6666666666666666</v>
      </c>
      <c r="C55" s="37">
        <v>43</v>
      </c>
      <c r="D55" s="21">
        <v>0.745</v>
      </c>
      <c r="E55" s="12">
        <f t="shared" si="9"/>
        <v>74.5</v>
      </c>
      <c r="F55" s="10">
        <v>4</v>
      </c>
      <c r="G55" s="10">
        <v>3900</v>
      </c>
      <c r="H55" s="80">
        <v>2.5</v>
      </c>
      <c r="I55" s="54">
        <v>0.11</v>
      </c>
      <c r="J55" s="8">
        <f t="shared" si="10"/>
        <v>0.46268000000000004</v>
      </c>
      <c r="K55" s="7">
        <f t="shared" si="11"/>
        <v>4102929417600</v>
      </c>
      <c r="L55" s="8">
        <f t="shared" si="12"/>
        <v>578.35</v>
      </c>
      <c r="M55" s="8">
        <f t="shared" si="13"/>
        <v>25.447400000000002</v>
      </c>
      <c r="N55" s="109">
        <f t="shared" si="14"/>
        <v>0.46268000000000004</v>
      </c>
      <c r="O55" s="109">
        <f t="shared" si="15"/>
      </c>
      <c r="P55" s="109">
        <f t="shared" si="16"/>
      </c>
      <c r="Q55" s="24">
        <f t="shared" si="17"/>
        <v>1.0000000000096128</v>
      </c>
      <c r="R55" s="22">
        <v>0.0015211587536231883</v>
      </c>
      <c r="S55" s="52">
        <v>0.023255813953488372</v>
      </c>
      <c r="T55" s="69">
        <f t="shared" si="18"/>
      </c>
      <c r="U55" s="68">
        <f t="shared" si="19"/>
      </c>
      <c r="V55" s="62" t="str">
        <f t="shared" si="22"/>
        <v>***</v>
      </c>
      <c r="W55" s="47">
        <f t="shared" si="20"/>
        <v>74.5</v>
      </c>
      <c r="X55" s="47">
        <f t="shared" si="21"/>
        <v>0.46268000000000004</v>
      </c>
      <c r="Y55" s="56">
        <f t="shared" si="4"/>
      </c>
      <c r="Z55" s="56">
        <f t="shared" si="5"/>
      </c>
      <c r="AA55" s="56">
        <f t="shared" si="6"/>
      </c>
      <c r="AB55" s="56">
        <f t="shared" si="7"/>
        <v>0.46268000000000004</v>
      </c>
      <c r="AC55" s="56">
        <f t="shared" si="8"/>
      </c>
    </row>
    <row r="56" spans="1:29" ht="15">
      <c r="A56" s="82">
        <v>35094</v>
      </c>
      <c r="B56" s="83">
        <v>0.6666666666666666</v>
      </c>
      <c r="C56" s="37">
        <v>852</v>
      </c>
      <c r="D56" s="21">
        <v>0.175</v>
      </c>
      <c r="E56" s="12">
        <f t="shared" si="9"/>
        <v>17.5</v>
      </c>
      <c r="F56" s="10">
        <v>15</v>
      </c>
      <c r="G56" s="10">
        <v>350</v>
      </c>
      <c r="H56" s="80">
        <v>7.3</v>
      </c>
      <c r="I56" s="54">
        <v>0.25</v>
      </c>
      <c r="J56" s="8">
        <f t="shared" si="10"/>
        <v>34.3782</v>
      </c>
      <c r="K56" s="7">
        <f t="shared" si="11"/>
        <v>7295727801600</v>
      </c>
      <c r="L56" s="8">
        <f t="shared" si="12"/>
        <v>33461.448</v>
      </c>
      <c r="M56" s="8">
        <f t="shared" si="13"/>
        <v>1145.94</v>
      </c>
      <c r="N56" s="109">
        <f t="shared" si="14"/>
        <v>34.3782</v>
      </c>
      <c r="O56" s="109">
        <f t="shared" si="15"/>
      </c>
      <c r="P56" s="109">
        <f t="shared" si="16"/>
      </c>
      <c r="Q56" s="24">
        <f t="shared" si="17"/>
      </c>
      <c r="R56" s="22">
        <v>-0.25555467060869563</v>
      </c>
      <c r="S56" s="52">
        <v>0.48826291079812206</v>
      </c>
      <c r="T56" s="69">
        <f t="shared" si="18"/>
      </c>
      <c r="U56" s="68">
        <f t="shared" si="19"/>
      </c>
      <c r="V56" s="62" t="str">
        <f t="shared" si="22"/>
        <v>***</v>
      </c>
      <c r="W56" s="47">
        <f t="shared" si="20"/>
        <v>17.5</v>
      </c>
      <c r="X56" s="47">
        <f t="shared" si="21"/>
        <v>34.3782</v>
      </c>
      <c r="Y56" s="56">
        <f t="shared" si="4"/>
      </c>
      <c r="Z56" s="56">
        <f t="shared" si="5"/>
        <v>34.3782</v>
      </c>
      <c r="AA56" s="56">
        <f t="shared" si="6"/>
      </c>
      <c r="AB56" s="56">
        <f t="shared" si="7"/>
      </c>
      <c r="AC56" s="56">
        <f t="shared" si="8"/>
      </c>
    </row>
    <row r="57" spans="1:29" ht="15">
      <c r="A57" s="82">
        <v>35117</v>
      </c>
      <c r="B57" s="83">
        <v>0.638888888888889</v>
      </c>
      <c r="C57" s="37">
        <v>103</v>
      </c>
      <c r="D57" s="21">
        <v>0.5529999999999999</v>
      </c>
      <c r="E57" s="12">
        <f t="shared" si="9"/>
        <v>55.3</v>
      </c>
      <c r="F57" s="10">
        <v>29</v>
      </c>
      <c r="G57" s="10">
        <v>110</v>
      </c>
      <c r="H57" s="80">
        <v>3.2</v>
      </c>
      <c r="I57" s="54">
        <v>0.11</v>
      </c>
      <c r="J57" s="8">
        <f t="shared" si="10"/>
        <v>8.03503</v>
      </c>
      <c r="K57" s="7">
        <f t="shared" si="11"/>
        <v>277198511040</v>
      </c>
      <c r="L57" s="8">
        <f t="shared" si="12"/>
        <v>1773.248</v>
      </c>
      <c r="M57" s="8">
        <f t="shared" si="13"/>
        <v>60.9554</v>
      </c>
      <c r="N57" s="109">
        <f t="shared" si="14"/>
        <v>8.03503</v>
      </c>
      <c r="O57" s="109">
        <f t="shared" si="15"/>
      </c>
      <c r="P57" s="109">
        <f t="shared" si="16"/>
      </c>
      <c r="Q57" s="24">
        <f t="shared" si="17"/>
        <v>5.000000000048064</v>
      </c>
      <c r="R57" s="22">
        <v>0.007605793768115941</v>
      </c>
      <c r="S57" s="52">
        <v>0.07766990291262135</v>
      </c>
      <c r="T57" s="69">
        <f t="shared" si="18"/>
      </c>
      <c r="U57" s="68">
        <f t="shared" si="19"/>
      </c>
      <c r="V57" s="62" t="str">
        <f t="shared" si="22"/>
        <v>***</v>
      </c>
      <c r="W57" s="47">
        <f t="shared" si="20"/>
        <v>55.3</v>
      </c>
      <c r="X57" s="47">
        <f t="shared" si="21"/>
        <v>8.03503</v>
      </c>
      <c r="Y57" s="56">
        <f t="shared" si="4"/>
      </c>
      <c r="Z57" s="56">
        <f t="shared" si="5"/>
      </c>
      <c r="AA57" s="56">
        <f t="shared" si="6"/>
        <v>8.03503</v>
      </c>
      <c r="AB57" s="56">
        <f t="shared" si="7"/>
      </c>
      <c r="AC57" s="56">
        <f t="shared" si="8"/>
      </c>
    </row>
    <row r="58" spans="1:29" ht="15">
      <c r="A58" s="82">
        <v>35145</v>
      </c>
      <c r="B58" s="83">
        <v>0.4895833333333333</v>
      </c>
      <c r="C58" s="37">
        <v>1270</v>
      </c>
      <c r="D58" s="21">
        <v>0.123</v>
      </c>
      <c r="E58" s="12">
        <f t="shared" si="9"/>
        <v>12.3</v>
      </c>
      <c r="F58" s="10">
        <v>100</v>
      </c>
      <c r="G58" s="10">
        <v>1800</v>
      </c>
      <c r="H58" s="80">
        <v>13</v>
      </c>
      <c r="I58" s="54">
        <v>0.23</v>
      </c>
      <c r="J58" s="8">
        <f t="shared" si="10"/>
        <v>341.63</v>
      </c>
      <c r="K58" s="7">
        <f t="shared" si="11"/>
        <v>55929019968000</v>
      </c>
      <c r="L58" s="8">
        <f t="shared" si="12"/>
        <v>88823.8</v>
      </c>
      <c r="M58" s="8">
        <f t="shared" si="13"/>
        <v>1571.498</v>
      </c>
      <c r="N58" s="109">
        <f t="shared" si="14"/>
        <v>341.63</v>
      </c>
      <c r="O58" s="109">
        <f t="shared" si="15"/>
      </c>
      <c r="P58" s="109">
        <f t="shared" si="16"/>
        <v>341.63</v>
      </c>
      <c r="Q58" s="24">
        <f t="shared" si="17"/>
        <v>90.00000000086516</v>
      </c>
      <c r="R58" s="22">
        <v>0.13690428782608696</v>
      </c>
      <c r="S58" s="52">
        <v>0.7929133858267716</v>
      </c>
      <c r="T58" s="69">
        <f t="shared" si="18"/>
      </c>
      <c r="U58" s="68" t="str">
        <f t="shared" si="19"/>
        <v>***</v>
      </c>
      <c r="V58" s="62" t="str">
        <f t="shared" si="22"/>
        <v>***</v>
      </c>
      <c r="W58" s="47">
        <f t="shared" si="20"/>
        <v>12.3</v>
      </c>
      <c r="X58" s="47">
        <f t="shared" si="21"/>
        <v>341.63</v>
      </c>
      <c r="Y58" s="56">
        <f t="shared" si="4"/>
      </c>
      <c r="Z58" s="56">
        <f t="shared" si="5"/>
        <v>341.63</v>
      </c>
      <c r="AA58" s="56">
        <f t="shared" si="6"/>
      </c>
      <c r="AB58" s="56">
        <f t="shared" si="7"/>
      </c>
      <c r="AC58" s="56">
        <f t="shared" si="8"/>
      </c>
    </row>
    <row r="59" spans="1:29" ht="15">
      <c r="A59" s="82">
        <v>35186</v>
      </c>
      <c r="B59" s="83">
        <v>0.5</v>
      </c>
      <c r="C59" s="37">
        <v>2080</v>
      </c>
      <c r="D59" s="21">
        <v>0.06499999999999995</v>
      </c>
      <c r="E59" s="12">
        <f t="shared" si="9"/>
        <v>6.499999999999995</v>
      </c>
      <c r="F59" s="10">
        <v>60</v>
      </c>
      <c r="G59" s="10">
        <v>2300</v>
      </c>
      <c r="H59" s="80">
        <v>11</v>
      </c>
      <c r="I59" s="54">
        <v>0.31</v>
      </c>
      <c r="J59" s="8">
        <f t="shared" si="10"/>
        <v>335.712</v>
      </c>
      <c r="K59" s="7">
        <f t="shared" si="11"/>
        <v>117044808192000</v>
      </c>
      <c r="L59" s="8">
        <f t="shared" si="12"/>
        <v>123094.4</v>
      </c>
      <c r="M59" s="8">
        <f t="shared" si="13"/>
        <v>3469.024</v>
      </c>
      <c r="N59" s="109">
        <f t="shared" si="14"/>
        <v>335.712</v>
      </c>
      <c r="O59" s="109">
        <f t="shared" si="15"/>
      </c>
      <c r="P59" s="109">
        <f t="shared" si="16"/>
      </c>
      <c r="Q59" s="24">
        <f t="shared" si="17"/>
      </c>
      <c r="R59" s="22">
        <v>-0.06084635014492753</v>
      </c>
      <c r="S59" s="52">
        <v>0.3942307692307692</v>
      </c>
      <c r="T59" s="69">
        <f t="shared" si="18"/>
      </c>
      <c r="U59" s="68">
        <f t="shared" si="19"/>
      </c>
      <c r="V59" s="62" t="str">
        <f t="shared" si="22"/>
        <v>***</v>
      </c>
      <c r="W59" s="47">
        <f t="shared" si="20"/>
        <v>6.499999999999995</v>
      </c>
      <c r="X59" s="47">
        <f t="shared" si="21"/>
        <v>335.712</v>
      </c>
      <c r="Y59" s="56">
        <f t="shared" si="4"/>
        <v>335.712</v>
      </c>
      <c r="Z59" s="56">
        <f t="shared" si="5"/>
      </c>
      <c r="AA59" s="56">
        <f t="shared" si="6"/>
      </c>
      <c r="AB59" s="56">
        <f t="shared" si="7"/>
      </c>
      <c r="AC59" s="56">
        <f t="shared" si="8"/>
      </c>
    </row>
    <row r="60" spans="1:29" ht="15">
      <c r="A60" s="82">
        <v>35219</v>
      </c>
      <c r="B60" s="83">
        <v>0.6041666666666666</v>
      </c>
      <c r="C60" s="37">
        <v>704</v>
      </c>
      <c r="D60" s="21">
        <v>0.20299999999999996</v>
      </c>
      <c r="E60" s="12">
        <f t="shared" si="9"/>
        <v>20.299999999999997</v>
      </c>
      <c r="F60" s="10">
        <v>116</v>
      </c>
      <c r="G60" s="10">
        <v>130</v>
      </c>
      <c r="H60" s="80">
        <v>6.6</v>
      </c>
      <c r="I60" s="54">
        <v>0.34</v>
      </c>
      <c r="J60" s="8">
        <f t="shared" si="10"/>
        <v>219.67616</v>
      </c>
      <c r="K60" s="7">
        <f t="shared" si="11"/>
        <v>2239118069760</v>
      </c>
      <c r="L60" s="8">
        <f t="shared" si="12"/>
        <v>24997.631999999998</v>
      </c>
      <c r="M60" s="8">
        <f t="shared" si="13"/>
        <v>1287.7568</v>
      </c>
      <c r="N60" s="109">
        <f t="shared" si="14"/>
        <v>219.67616</v>
      </c>
      <c r="O60" s="109">
        <f t="shared" si="15"/>
        <v>219.67616</v>
      </c>
      <c r="P60" s="109">
        <f t="shared" si="16"/>
      </c>
      <c r="Q60" s="24">
        <f t="shared" si="17"/>
      </c>
      <c r="R60" s="22">
        <v>-0.8305526794782608</v>
      </c>
      <c r="S60" s="52">
        <v>0.4474431818181818</v>
      </c>
      <c r="T60" s="69" t="str">
        <f t="shared" si="18"/>
        <v>***</v>
      </c>
      <c r="U60" s="68">
        <f t="shared" si="19"/>
      </c>
      <c r="V60" s="62" t="str">
        <f t="shared" si="22"/>
        <v>***</v>
      </c>
      <c r="W60" s="47">
        <f t="shared" si="20"/>
        <v>20.299999999999997</v>
      </c>
      <c r="X60" s="47">
        <f t="shared" si="21"/>
        <v>219.67616</v>
      </c>
      <c r="Y60" s="56">
        <f t="shared" si="4"/>
      </c>
      <c r="Z60" s="56">
        <f t="shared" si="5"/>
        <v>219.67616</v>
      </c>
      <c r="AA60" s="56">
        <f t="shared" si="6"/>
      </c>
      <c r="AB60" s="56">
        <f t="shared" si="7"/>
      </c>
      <c r="AC60" s="56">
        <f t="shared" si="8"/>
      </c>
    </row>
    <row r="61" spans="1:29" ht="15">
      <c r="A61" s="82">
        <v>35243</v>
      </c>
      <c r="B61" s="83">
        <v>0.6006944444444444</v>
      </c>
      <c r="C61" s="37">
        <v>107</v>
      </c>
      <c r="D61" s="21">
        <v>0.544</v>
      </c>
      <c r="E61" s="12">
        <f t="shared" si="9"/>
        <v>54.400000000000006</v>
      </c>
      <c r="F61" s="10">
        <v>76</v>
      </c>
      <c r="G61" s="10">
        <v>440</v>
      </c>
      <c r="H61" s="80">
        <v>3</v>
      </c>
      <c r="I61" s="54">
        <v>0.23</v>
      </c>
      <c r="J61" s="8">
        <f t="shared" si="10"/>
        <v>21.87508</v>
      </c>
      <c r="K61" s="7">
        <f t="shared" si="11"/>
        <v>1151854007040</v>
      </c>
      <c r="L61" s="8">
        <f t="shared" si="12"/>
        <v>1726.98</v>
      </c>
      <c r="M61" s="8">
        <f t="shared" si="13"/>
        <v>132.40179999999998</v>
      </c>
      <c r="N61" s="109">
        <f t="shared" si="14"/>
        <v>21.87508</v>
      </c>
      <c r="O61" s="109">
        <f t="shared" si="15"/>
        <v>21.87508</v>
      </c>
      <c r="P61" s="109">
        <f t="shared" si="16"/>
      </c>
      <c r="Q61" s="24">
        <f t="shared" si="17"/>
      </c>
      <c r="R61" s="22">
        <v>-0.01977506379710145</v>
      </c>
      <c r="S61" s="52">
        <v>0</v>
      </c>
      <c r="T61" s="69" t="str">
        <f t="shared" si="18"/>
        <v>***</v>
      </c>
      <c r="U61" s="68">
        <f t="shared" si="19"/>
      </c>
      <c r="V61" s="62" t="str">
        <f t="shared" si="22"/>
        <v>***</v>
      </c>
      <c r="W61" s="47">
        <f t="shared" si="20"/>
        <v>54.400000000000006</v>
      </c>
      <c r="X61" s="47">
        <f t="shared" si="21"/>
        <v>21.87508</v>
      </c>
      <c r="Y61" s="56">
        <f t="shared" si="4"/>
      </c>
      <c r="Z61" s="56">
        <f t="shared" si="5"/>
      </c>
      <c r="AA61" s="56">
        <f t="shared" si="6"/>
        <v>21.87508</v>
      </c>
      <c r="AB61" s="56">
        <f t="shared" si="7"/>
      </c>
      <c r="AC61" s="56">
        <f t="shared" si="8"/>
      </c>
    </row>
    <row r="62" spans="1:29" ht="15">
      <c r="A62" s="82">
        <v>35269</v>
      </c>
      <c r="B62" s="83">
        <v>0.5625</v>
      </c>
      <c r="C62" s="37">
        <v>931</v>
      </c>
      <c r="D62" s="21">
        <v>0.16300000000000003</v>
      </c>
      <c r="E62" s="12">
        <f t="shared" si="9"/>
        <v>16.300000000000004</v>
      </c>
      <c r="F62" s="10">
        <v>95</v>
      </c>
      <c r="G62" s="10">
        <v>800</v>
      </c>
      <c r="H62" s="80">
        <v>8.4</v>
      </c>
      <c r="I62" s="54">
        <v>0.31</v>
      </c>
      <c r="J62" s="8">
        <f t="shared" si="10"/>
        <v>237.91705000000002</v>
      </c>
      <c r="K62" s="7">
        <f t="shared" si="11"/>
        <v>18222193382400</v>
      </c>
      <c r="L62" s="8">
        <f t="shared" si="12"/>
        <v>42073.752</v>
      </c>
      <c r="M62" s="8">
        <f t="shared" si="13"/>
        <v>1552.7218</v>
      </c>
      <c r="N62" s="109">
        <f t="shared" si="14"/>
        <v>237.91705000000002</v>
      </c>
      <c r="O62" s="109">
        <f t="shared" si="15"/>
        <v>237.91705000000002</v>
      </c>
      <c r="P62" s="109">
        <f t="shared" si="16"/>
        <v>237.91705000000002</v>
      </c>
      <c r="Q62" s="24">
        <f t="shared" si="17"/>
      </c>
      <c r="R62" s="22">
        <v>-0.7286350429855072</v>
      </c>
      <c r="S62" s="52">
        <v>0.790547798066595</v>
      </c>
      <c r="T62" s="69" t="str">
        <f t="shared" si="18"/>
        <v>***</v>
      </c>
      <c r="U62" s="68" t="str">
        <f t="shared" si="19"/>
        <v>***</v>
      </c>
      <c r="V62" s="62" t="str">
        <f t="shared" si="22"/>
        <v>***</v>
      </c>
      <c r="W62" s="47">
        <f t="shared" si="20"/>
        <v>16.300000000000004</v>
      </c>
      <c r="X62" s="47">
        <f t="shared" si="21"/>
        <v>237.91705000000002</v>
      </c>
      <c r="Y62" s="56">
        <f t="shared" si="4"/>
      </c>
      <c r="Z62" s="56">
        <f t="shared" si="5"/>
        <v>237.91705000000002</v>
      </c>
      <c r="AA62" s="56">
        <f t="shared" si="6"/>
      </c>
      <c r="AB62" s="56">
        <f t="shared" si="7"/>
      </c>
      <c r="AC62" s="56">
        <f t="shared" si="8"/>
      </c>
    </row>
    <row r="63" spans="1:29" ht="15">
      <c r="A63" s="82">
        <v>35304</v>
      </c>
      <c r="B63" s="83">
        <v>0.7222222222222222</v>
      </c>
      <c r="C63" s="37">
        <v>46</v>
      </c>
      <c r="D63" s="21">
        <v>0.73</v>
      </c>
      <c r="E63" s="12">
        <f t="shared" si="9"/>
        <v>73</v>
      </c>
      <c r="F63" s="10">
        <v>80</v>
      </c>
      <c r="G63" s="10">
        <v>660</v>
      </c>
      <c r="H63" s="80">
        <v>1</v>
      </c>
      <c r="I63" s="54">
        <v>0.24</v>
      </c>
      <c r="J63" s="8">
        <f t="shared" si="10"/>
        <v>9.8992</v>
      </c>
      <c r="K63" s="7">
        <f t="shared" si="11"/>
        <v>742784359680</v>
      </c>
      <c r="L63" s="8">
        <f t="shared" si="12"/>
        <v>247.48</v>
      </c>
      <c r="M63" s="8">
        <f t="shared" si="13"/>
        <v>59.395199999999996</v>
      </c>
      <c r="N63" s="109">
        <f t="shared" si="14"/>
        <v>9.8992</v>
      </c>
      <c r="O63" s="109">
        <f t="shared" si="15"/>
        <v>9.8992</v>
      </c>
      <c r="P63" s="109">
        <f t="shared" si="16"/>
      </c>
      <c r="Q63" s="24">
        <f t="shared" si="17"/>
      </c>
      <c r="R63" s="22">
        <v>-0.007605793768115941</v>
      </c>
      <c r="S63" s="52">
        <v>0.08695652173913043</v>
      </c>
      <c r="T63" s="69" t="str">
        <f t="shared" si="18"/>
        <v>***</v>
      </c>
      <c r="U63" s="68">
        <f t="shared" si="19"/>
      </c>
      <c r="V63" s="62" t="str">
        <f t="shared" si="22"/>
        <v>***</v>
      </c>
      <c r="W63" s="47">
        <f t="shared" si="20"/>
        <v>73</v>
      </c>
      <c r="X63" s="47">
        <f t="shared" si="21"/>
        <v>9.8992</v>
      </c>
      <c r="Y63" s="56">
        <f t="shared" si="4"/>
      </c>
      <c r="Z63" s="56">
        <f t="shared" si="5"/>
      </c>
      <c r="AA63" s="56">
        <f t="shared" si="6"/>
      </c>
      <c r="AB63" s="56">
        <f t="shared" si="7"/>
        <v>9.8992</v>
      </c>
      <c r="AC63" s="56">
        <f t="shared" si="8"/>
      </c>
    </row>
    <row r="64" spans="1:29" ht="15">
      <c r="A64" s="82">
        <v>35332</v>
      </c>
      <c r="B64" s="83">
        <v>0.5902777777777778</v>
      </c>
      <c r="C64" s="37">
        <v>45</v>
      </c>
      <c r="D64" s="21">
        <v>0.734</v>
      </c>
      <c r="E64" s="12">
        <f t="shared" si="9"/>
        <v>73.4</v>
      </c>
      <c r="F64" s="10">
        <v>90</v>
      </c>
      <c r="G64" s="10">
        <v>2600</v>
      </c>
      <c r="H64" s="80">
        <v>0.4</v>
      </c>
      <c r="I64" s="54">
        <v>0.23</v>
      </c>
      <c r="J64" s="8">
        <f t="shared" si="10"/>
        <v>10.8945</v>
      </c>
      <c r="K64" s="7">
        <f t="shared" si="11"/>
        <v>2862508896000</v>
      </c>
      <c r="L64" s="8">
        <f t="shared" si="12"/>
        <v>96.84</v>
      </c>
      <c r="M64" s="8">
        <f t="shared" si="13"/>
        <v>55.683</v>
      </c>
      <c r="N64" s="109">
        <f t="shared" si="14"/>
        <v>10.8945</v>
      </c>
      <c r="O64" s="109">
        <f t="shared" si="15"/>
        <v>10.8945</v>
      </c>
      <c r="P64" s="109">
        <f t="shared" si="16"/>
      </c>
      <c r="Q64" s="24">
        <f t="shared" si="17"/>
      </c>
      <c r="R64" s="22">
        <v>-0.013690428782608696</v>
      </c>
      <c r="S64" s="52">
        <v>0.2</v>
      </c>
      <c r="T64" s="69" t="str">
        <f t="shared" si="18"/>
        <v>***</v>
      </c>
      <c r="U64" s="68">
        <f t="shared" si="19"/>
      </c>
      <c r="V64" s="62" t="str">
        <f t="shared" si="22"/>
        <v>***</v>
      </c>
      <c r="W64" s="47">
        <f t="shared" si="20"/>
        <v>73.4</v>
      </c>
      <c r="X64" s="47">
        <f t="shared" si="21"/>
        <v>10.8945</v>
      </c>
      <c r="Y64" s="56">
        <f t="shared" si="4"/>
      </c>
      <c r="Z64" s="56">
        <f t="shared" si="5"/>
      </c>
      <c r="AA64" s="56">
        <f t="shared" si="6"/>
      </c>
      <c r="AB64" s="56">
        <f t="shared" si="7"/>
        <v>10.8945</v>
      </c>
      <c r="AC64" s="56">
        <f t="shared" si="8"/>
      </c>
    </row>
    <row r="65" spans="1:29" ht="15">
      <c r="A65" s="82">
        <v>35354</v>
      </c>
      <c r="B65" s="83">
        <v>0.6770833333333334</v>
      </c>
      <c r="C65" s="37">
        <v>28</v>
      </c>
      <c r="D65" s="21">
        <v>0.855</v>
      </c>
      <c r="E65" s="12">
        <f t="shared" si="9"/>
        <v>85.5</v>
      </c>
      <c r="F65" s="10">
        <v>35</v>
      </c>
      <c r="G65" s="10">
        <v>180</v>
      </c>
      <c r="H65" s="80">
        <v>0.2</v>
      </c>
      <c r="I65" s="54">
        <v>0.21</v>
      </c>
      <c r="J65" s="8">
        <f t="shared" si="10"/>
        <v>2.6362</v>
      </c>
      <c r="K65" s="7">
        <f t="shared" si="11"/>
        <v>123308075520</v>
      </c>
      <c r="L65" s="8">
        <f t="shared" si="12"/>
        <v>30.128000000000004</v>
      </c>
      <c r="M65" s="8">
        <f t="shared" si="13"/>
        <v>31.6344</v>
      </c>
      <c r="N65" s="109">
        <f t="shared" si="14"/>
        <v>2.6362</v>
      </c>
      <c r="O65" s="109">
        <f t="shared" si="15"/>
        <v>2.6362</v>
      </c>
      <c r="P65" s="109">
        <f t="shared" si="16"/>
      </c>
      <c r="Q65" s="24">
        <f t="shared" si="17"/>
        <v>1.0000000000096128</v>
      </c>
      <c r="R65" s="22">
        <v>0.0015211587536231883</v>
      </c>
      <c r="S65" s="52">
        <v>0.07142857142857142</v>
      </c>
      <c r="T65" s="69" t="str">
        <f t="shared" si="18"/>
        <v>***</v>
      </c>
      <c r="U65" s="68">
        <f t="shared" si="19"/>
      </c>
      <c r="V65" s="62" t="str">
        <f t="shared" si="22"/>
        <v>***</v>
      </c>
      <c r="W65" s="47">
        <f t="shared" si="20"/>
        <v>85.5</v>
      </c>
      <c r="X65" s="47">
        <f t="shared" si="21"/>
        <v>2.6362</v>
      </c>
      <c r="Y65" s="56">
        <f t="shared" si="4"/>
      </c>
      <c r="Z65" s="56">
        <f t="shared" si="5"/>
      </c>
      <c r="AA65" s="56">
        <f t="shared" si="6"/>
      </c>
      <c r="AB65" s="56">
        <f t="shared" si="7"/>
        <v>2.6362</v>
      </c>
      <c r="AC65" s="56">
        <f t="shared" si="8"/>
      </c>
    </row>
    <row r="66" spans="1:29" ht="15">
      <c r="A66" s="82">
        <v>35375</v>
      </c>
      <c r="B66" s="83">
        <v>0.6805555555555555</v>
      </c>
      <c r="C66" s="37">
        <v>39</v>
      </c>
      <c r="D66" s="21">
        <v>0.77</v>
      </c>
      <c r="E66" s="12">
        <f t="shared" si="9"/>
        <v>77</v>
      </c>
      <c r="F66" s="10">
        <v>14</v>
      </c>
      <c r="G66" s="10">
        <v>140</v>
      </c>
      <c r="H66" s="80">
        <v>0.4</v>
      </c>
      <c r="I66" s="54">
        <v>0.19</v>
      </c>
      <c r="J66" s="8">
        <f t="shared" si="10"/>
        <v>1.4687400000000002</v>
      </c>
      <c r="K66" s="7">
        <f t="shared" si="11"/>
        <v>133583748480</v>
      </c>
      <c r="L66" s="8">
        <f t="shared" si="12"/>
        <v>83.92800000000001</v>
      </c>
      <c r="M66" s="8">
        <f t="shared" si="13"/>
        <v>39.8658</v>
      </c>
      <c r="N66" s="109">
        <f t="shared" si="14"/>
        <v>1.4687400000000002</v>
      </c>
      <c r="O66" s="109">
        <f t="shared" si="15"/>
      </c>
      <c r="P66" s="109">
        <f t="shared" si="16"/>
      </c>
      <c r="Q66" s="24">
        <f t="shared" si="17"/>
      </c>
      <c r="R66" s="22">
        <v>-0.006084635014492753</v>
      </c>
      <c r="S66" s="52">
        <v>0</v>
      </c>
      <c r="T66" s="69">
        <f t="shared" si="18"/>
      </c>
      <c r="U66" s="68">
        <f t="shared" si="19"/>
      </c>
      <c r="V66" s="62" t="str">
        <f t="shared" si="22"/>
        <v>***</v>
      </c>
      <c r="W66" s="47">
        <f t="shared" si="20"/>
        <v>77</v>
      </c>
      <c r="X66" s="47">
        <f t="shared" si="21"/>
        <v>1.4687400000000002</v>
      </c>
      <c r="Y66" s="56">
        <f t="shared" si="4"/>
      </c>
      <c r="Z66" s="56">
        <f t="shared" si="5"/>
      </c>
      <c r="AA66" s="56">
        <f t="shared" si="6"/>
      </c>
      <c r="AB66" s="56">
        <f t="shared" si="7"/>
        <v>1.4687400000000002</v>
      </c>
      <c r="AC66" s="56">
        <f t="shared" si="8"/>
      </c>
    </row>
    <row r="67" spans="1:29" ht="15">
      <c r="A67" s="82">
        <v>35401</v>
      </c>
      <c r="B67" s="83">
        <v>0.6597222222222222</v>
      </c>
      <c r="C67" s="37">
        <v>1500</v>
      </c>
      <c r="D67" s="21">
        <v>0.10299999999999998</v>
      </c>
      <c r="E67" s="12">
        <f t="shared" si="9"/>
        <v>10.299999999999997</v>
      </c>
      <c r="F67" s="10">
        <v>104</v>
      </c>
      <c r="G67" s="10">
        <v>1900</v>
      </c>
      <c r="H67" s="80">
        <v>6.1</v>
      </c>
      <c r="I67" s="54">
        <v>0.5</v>
      </c>
      <c r="J67" s="8">
        <f t="shared" si="10"/>
        <v>419.64000000000004</v>
      </c>
      <c r="K67" s="7">
        <f t="shared" si="11"/>
        <v>69727780800000</v>
      </c>
      <c r="L67" s="8">
        <f t="shared" si="12"/>
        <v>49227</v>
      </c>
      <c r="M67" s="8">
        <f t="shared" si="13"/>
        <v>4035</v>
      </c>
      <c r="N67" s="109">
        <f t="shared" si="14"/>
        <v>419.64000000000004</v>
      </c>
      <c r="O67" s="109">
        <f t="shared" si="15"/>
      </c>
      <c r="P67" s="109">
        <f t="shared" si="16"/>
      </c>
      <c r="Q67" s="24">
        <f t="shared" si="17"/>
      </c>
      <c r="R67" s="22">
        <v>-0.7605793768115942</v>
      </c>
      <c r="S67" s="52">
        <v>0.44</v>
      </c>
      <c r="T67" s="69">
        <f t="shared" si="18"/>
      </c>
      <c r="U67" s="68">
        <f t="shared" si="19"/>
      </c>
      <c r="V67" s="62" t="str">
        <f t="shared" si="22"/>
        <v>***</v>
      </c>
      <c r="W67" s="47">
        <f t="shared" si="20"/>
        <v>10.299999999999997</v>
      </c>
      <c r="X67" s="47">
        <f t="shared" si="21"/>
        <v>419.64000000000004</v>
      </c>
      <c r="Y67" s="56">
        <f t="shared" si="4"/>
      </c>
      <c r="Z67" s="56">
        <f t="shared" si="5"/>
        <v>419.64000000000004</v>
      </c>
      <c r="AA67" s="56">
        <f t="shared" si="6"/>
      </c>
      <c r="AB67" s="56">
        <f t="shared" si="7"/>
      </c>
      <c r="AC67" s="56">
        <f t="shared" si="8"/>
      </c>
    </row>
    <row r="68" spans="1:29" ht="15">
      <c r="A68" s="82">
        <v>35452</v>
      </c>
      <c r="B68" s="83">
        <v>0.6527777777777778</v>
      </c>
      <c r="C68" s="37">
        <v>800</v>
      </c>
      <c r="D68" s="21">
        <v>0.185</v>
      </c>
      <c r="E68" s="12">
        <f t="shared" si="9"/>
        <v>18.5</v>
      </c>
      <c r="F68" s="10">
        <v>260</v>
      </c>
      <c r="G68" s="10">
        <v>3400</v>
      </c>
      <c r="H68" s="80">
        <v>2</v>
      </c>
      <c r="I68" s="54">
        <v>0.7</v>
      </c>
      <c r="J68" s="8">
        <f t="shared" si="10"/>
        <v>559.52</v>
      </c>
      <c r="K68" s="7">
        <f t="shared" si="11"/>
        <v>66547215360000</v>
      </c>
      <c r="L68" s="8">
        <f t="shared" si="12"/>
        <v>8608</v>
      </c>
      <c r="M68" s="8">
        <f t="shared" si="13"/>
        <v>3012.7999999999997</v>
      </c>
      <c r="N68" s="109">
        <f t="shared" si="14"/>
        <v>559.52</v>
      </c>
      <c r="O68" s="109">
        <f t="shared" si="15"/>
      </c>
      <c r="P68" s="109">
        <f t="shared" si="16"/>
        <v>559.52</v>
      </c>
      <c r="Q68" s="24">
        <f t="shared" si="17"/>
        <v>600.0000000057677</v>
      </c>
      <c r="R68" s="22">
        <v>0.912695252173913</v>
      </c>
      <c r="S68" s="52">
        <v>0.78125</v>
      </c>
      <c r="T68" s="69">
        <f t="shared" si="18"/>
      </c>
      <c r="U68" s="68" t="str">
        <f t="shared" si="19"/>
        <v>***</v>
      </c>
      <c r="V68" s="62" t="str">
        <f t="shared" si="22"/>
        <v>***</v>
      </c>
      <c r="W68" s="47">
        <f t="shared" si="20"/>
        <v>18.5</v>
      </c>
      <c r="X68" s="47">
        <f t="shared" si="21"/>
        <v>559.52</v>
      </c>
      <c r="Y68" s="56">
        <f t="shared" si="4"/>
      </c>
      <c r="Z68" s="56">
        <f t="shared" si="5"/>
        <v>559.52</v>
      </c>
      <c r="AA68" s="56">
        <f t="shared" si="6"/>
      </c>
      <c r="AB68" s="56">
        <f t="shared" si="7"/>
      </c>
      <c r="AC68" s="56">
        <f t="shared" si="8"/>
      </c>
    </row>
    <row r="69" spans="1:29" ht="15">
      <c r="A69" s="82">
        <v>35480</v>
      </c>
      <c r="B69" s="83">
        <v>0.7013888888888888</v>
      </c>
      <c r="C69" s="37">
        <v>500</v>
      </c>
      <c r="D69" s="21">
        <v>0.258</v>
      </c>
      <c r="E69" s="12">
        <f t="shared" si="9"/>
        <v>25.8</v>
      </c>
      <c r="F69" s="10">
        <v>92</v>
      </c>
      <c r="G69" s="10">
        <v>1000</v>
      </c>
      <c r="H69" s="80">
        <v>3.5</v>
      </c>
      <c r="I69" s="54">
        <v>0.37</v>
      </c>
      <c r="J69" s="8">
        <f t="shared" si="10"/>
        <v>123.74000000000001</v>
      </c>
      <c r="K69" s="7">
        <f t="shared" si="11"/>
        <v>12232944000000</v>
      </c>
      <c r="L69" s="8">
        <f t="shared" si="12"/>
        <v>9415</v>
      </c>
      <c r="M69" s="8">
        <f t="shared" si="13"/>
        <v>995.3</v>
      </c>
      <c r="N69" s="109">
        <f t="shared" si="14"/>
        <v>123.74000000000001</v>
      </c>
      <c r="O69" s="109">
        <f t="shared" si="15"/>
      </c>
      <c r="P69" s="109">
        <f t="shared" si="16"/>
        <v>123.74000000000001</v>
      </c>
      <c r="Q69" s="24">
        <f t="shared" si="17"/>
        <v>315.00000000302805</v>
      </c>
      <c r="R69" s="22">
        <v>0.47916500739130435</v>
      </c>
      <c r="S69" s="52">
        <v>0.67</v>
      </c>
      <c r="T69" s="69">
        <f t="shared" si="18"/>
      </c>
      <c r="U69" s="68" t="str">
        <f t="shared" si="19"/>
        <v>***</v>
      </c>
      <c r="V69" s="62" t="str">
        <f t="shared" si="22"/>
        <v>***</v>
      </c>
      <c r="W69" s="47">
        <f t="shared" si="20"/>
        <v>25.8</v>
      </c>
      <c r="X69" s="47">
        <f t="shared" si="21"/>
        <v>123.74000000000001</v>
      </c>
      <c r="Y69" s="56">
        <f t="shared" si="4"/>
      </c>
      <c r="Z69" s="56">
        <f t="shared" si="5"/>
        <v>123.74000000000001</v>
      </c>
      <c r="AA69" s="56">
        <f t="shared" si="6"/>
      </c>
      <c r="AB69" s="56">
        <f t="shared" si="7"/>
      </c>
      <c r="AC69" s="56">
        <f t="shared" si="8"/>
      </c>
    </row>
    <row r="70" spans="1:29" ht="15">
      <c r="A70" s="82">
        <v>35508</v>
      </c>
      <c r="B70" s="83">
        <v>0.625</v>
      </c>
      <c r="C70" s="37">
        <v>900</v>
      </c>
      <c r="D70" s="21">
        <v>0.16800000000000004</v>
      </c>
      <c r="E70" s="12">
        <f t="shared" si="9"/>
        <v>16.800000000000004</v>
      </c>
      <c r="F70" s="10">
        <v>32</v>
      </c>
      <c r="G70" s="10">
        <v>220</v>
      </c>
      <c r="H70" s="80">
        <v>4.7</v>
      </c>
      <c r="I70" s="54">
        <v>0.29</v>
      </c>
      <c r="J70" s="8">
        <f t="shared" si="10"/>
        <v>77.47200000000001</v>
      </c>
      <c r="K70" s="7">
        <f t="shared" si="11"/>
        <v>4844245824000</v>
      </c>
      <c r="L70" s="8">
        <f t="shared" si="12"/>
        <v>22757.399999999998</v>
      </c>
      <c r="M70" s="8">
        <f t="shared" si="13"/>
        <v>1404.18</v>
      </c>
      <c r="N70" s="109">
        <f t="shared" si="14"/>
        <v>77.47200000000001</v>
      </c>
      <c r="O70" s="109">
        <f t="shared" si="15"/>
      </c>
      <c r="P70" s="109">
        <f t="shared" si="16"/>
        <v>77.47200000000001</v>
      </c>
      <c r="Q70" s="24">
        <f t="shared" si="17"/>
      </c>
      <c r="R70" s="22">
        <v>-0.6084635014492753</v>
      </c>
      <c r="S70" s="52">
        <v>0.5555555555555556</v>
      </c>
      <c r="T70" s="69">
        <f t="shared" si="18"/>
      </c>
      <c r="U70" s="68" t="str">
        <f t="shared" si="19"/>
        <v>***</v>
      </c>
      <c r="V70" s="62" t="str">
        <f t="shared" si="22"/>
        <v>***</v>
      </c>
      <c r="W70" s="47">
        <f t="shared" si="20"/>
        <v>16.800000000000004</v>
      </c>
      <c r="X70" s="47">
        <f t="shared" si="21"/>
        <v>77.47200000000001</v>
      </c>
      <c r="Y70" s="56">
        <f t="shared" si="4"/>
      </c>
      <c r="Z70" s="56">
        <f t="shared" si="5"/>
        <v>77.47200000000001</v>
      </c>
      <c r="AA70" s="56">
        <f t="shared" si="6"/>
      </c>
      <c r="AB70" s="56">
        <f t="shared" si="7"/>
      </c>
      <c r="AC70" s="56">
        <f t="shared" si="8"/>
      </c>
    </row>
    <row r="71" spans="1:29" ht="15">
      <c r="A71" s="82">
        <v>35543</v>
      </c>
      <c r="B71" s="83">
        <v>0.6597222222222222</v>
      </c>
      <c r="C71" s="37">
        <v>130</v>
      </c>
      <c r="D71" s="21">
        <v>0.504</v>
      </c>
      <c r="E71" s="12">
        <f t="shared" si="9"/>
        <v>50.4</v>
      </c>
      <c r="F71" s="10">
        <v>76</v>
      </c>
      <c r="G71" s="10">
        <v>100</v>
      </c>
      <c r="H71" s="80">
        <v>3</v>
      </c>
      <c r="I71" s="54">
        <v>0.19</v>
      </c>
      <c r="J71" s="8">
        <f t="shared" si="10"/>
        <v>26.5772</v>
      </c>
      <c r="K71" s="7">
        <f t="shared" si="11"/>
        <v>318056544000</v>
      </c>
      <c r="L71" s="8">
        <f t="shared" si="12"/>
        <v>2098.2</v>
      </c>
      <c r="M71" s="8">
        <f t="shared" si="13"/>
        <v>132.886</v>
      </c>
      <c r="N71" s="109">
        <f t="shared" si="14"/>
        <v>26.5772</v>
      </c>
      <c r="O71" s="109">
        <f t="shared" si="15"/>
      </c>
      <c r="P71" s="109">
        <f t="shared" si="16"/>
      </c>
      <c r="Q71" s="24">
        <f t="shared" si="17"/>
      </c>
      <c r="R71" s="22">
        <v>-0.015211587536231882</v>
      </c>
      <c r="S71" s="52">
        <v>0.23076923076923078</v>
      </c>
      <c r="T71" s="69">
        <f t="shared" si="18"/>
      </c>
      <c r="U71" s="68">
        <f t="shared" si="19"/>
      </c>
      <c r="V71" s="62" t="str">
        <f t="shared" si="22"/>
        <v>***</v>
      </c>
      <c r="W71" s="47">
        <f t="shared" si="20"/>
        <v>50.4</v>
      </c>
      <c r="X71" s="47">
        <f t="shared" si="21"/>
        <v>26.5772</v>
      </c>
      <c r="Y71" s="56">
        <f t="shared" si="4"/>
      </c>
      <c r="Z71" s="56">
        <f t="shared" si="5"/>
      </c>
      <c r="AA71" s="56">
        <f t="shared" si="6"/>
        <v>26.5772</v>
      </c>
      <c r="AB71" s="56">
        <f t="shared" si="7"/>
      </c>
      <c r="AC71" s="56">
        <f t="shared" si="8"/>
      </c>
    </row>
    <row r="72" spans="1:29" ht="15">
      <c r="A72" s="82">
        <v>35571</v>
      </c>
      <c r="B72" s="83">
        <v>0.7256944444444445</v>
      </c>
      <c r="C72" s="37">
        <v>300</v>
      </c>
      <c r="D72" s="21">
        <v>0.34</v>
      </c>
      <c r="E72" s="12">
        <f t="shared" si="9"/>
        <v>34</v>
      </c>
      <c r="F72" s="10">
        <v>67</v>
      </c>
      <c r="G72" s="10">
        <v>9200</v>
      </c>
      <c r="H72" s="80">
        <v>5.3</v>
      </c>
      <c r="I72" s="54">
        <v>0.2</v>
      </c>
      <c r="J72" s="8">
        <f t="shared" si="10"/>
        <v>54.069</v>
      </c>
      <c r="K72" s="7">
        <f t="shared" si="11"/>
        <v>67525850880000</v>
      </c>
      <c r="L72" s="8">
        <f t="shared" si="12"/>
        <v>8554.2</v>
      </c>
      <c r="M72" s="8">
        <f t="shared" si="13"/>
        <v>322.8</v>
      </c>
      <c r="N72" s="109">
        <f t="shared" si="14"/>
        <v>54.069</v>
      </c>
      <c r="O72" s="109">
        <f t="shared" si="15"/>
      </c>
      <c r="P72" s="109">
        <f t="shared" si="16"/>
        <v>54.069</v>
      </c>
      <c r="Q72" s="24">
        <f t="shared" si="17"/>
      </c>
      <c r="R72" s="22">
        <v>-0.1977506379710145</v>
      </c>
      <c r="S72" s="52">
        <v>0.7333333333333333</v>
      </c>
      <c r="T72" s="69">
        <f t="shared" si="18"/>
      </c>
      <c r="U72" s="68" t="str">
        <f t="shared" si="19"/>
        <v>***</v>
      </c>
      <c r="V72" s="62" t="str">
        <f aca="true" t="shared" si="23" ref="V72:V103">IF(OR(A72="",YEAR(A72)&lt;YEAR(V$4),YEAR(A72)&gt;YEAR(V$6)),"","***")</f>
        <v>***</v>
      </c>
      <c r="W72" s="47">
        <f t="shared" si="20"/>
        <v>34</v>
      </c>
      <c r="X72" s="47">
        <f t="shared" si="21"/>
        <v>54.069</v>
      </c>
      <c r="Y72" s="56">
        <f aca="true" t="shared" si="24" ref="Y72:Y135">IF(OR($X72="",$W72="",$W72&lt;0,$W72&gt;10),"",$X72)</f>
      </c>
      <c r="Z72" s="56">
        <f aca="true" t="shared" si="25" ref="Z72:Z135">IF(OR($X72="",$W72="",$W72&lt;10,$W72&gt;40),"",$X72)</f>
        <v>54.069</v>
      </c>
      <c r="AA72" s="56">
        <f aca="true" t="shared" si="26" ref="AA72:AA135">IF(OR($X72="",$W72="",$W72&lt;40,$W72&gt;60),"",$X72)</f>
      </c>
      <c r="AB72" s="56">
        <f aca="true" t="shared" si="27" ref="AB72:AB135">IF(OR($X72="",$W72="",$W72&lt;60,$W72&gt;90),"",$X72)</f>
      </c>
      <c r="AC72" s="56">
        <f aca="true" t="shared" si="28" ref="AC72:AC135">IF(OR($X72="",$W72="",$W72&lt;90,$W72&gt;100),"",$X72)</f>
      </c>
    </row>
    <row r="73" spans="1:29" ht="15">
      <c r="A73" s="82">
        <v>35607</v>
      </c>
      <c r="B73" s="83">
        <v>0.6770833333333334</v>
      </c>
      <c r="C73" s="37">
        <v>220</v>
      </c>
      <c r="D73" s="21">
        <v>0.398</v>
      </c>
      <c r="E73" s="12">
        <f aca="true" t="shared" si="29" ref="E73:E136">IF(D73="","",100*D73)</f>
        <v>39.800000000000004</v>
      </c>
      <c r="F73" s="10">
        <v>100</v>
      </c>
      <c r="G73" s="10">
        <v>1000</v>
      </c>
      <c r="H73" s="80">
        <v>6</v>
      </c>
      <c r="I73" s="54">
        <v>0.31</v>
      </c>
      <c r="J73" s="8">
        <f aca="true" t="shared" si="30" ref="J73:J136">IF(OR($C73="",F73=""),"",($C73*F73*(5.38/2000)))</f>
        <v>59.18</v>
      </c>
      <c r="K73" s="7">
        <f aca="true" t="shared" si="31" ref="K73:K136">IF(OR($C73="",G73=""),"",($C73*G73*((28317/100)*60*60*24)))</f>
        <v>5382495360000</v>
      </c>
      <c r="L73" s="8">
        <f aca="true" t="shared" si="32" ref="L73:L136">IF(OR($C73="",H73=""),"",($C73*H73*5.38))</f>
        <v>7101.599999999999</v>
      </c>
      <c r="M73" s="8">
        <f aca="true" t="shared" si="33" ref="M73:M136">IF(OR($C73="",I73=""),"",($C73*I73*5.38))</f>
        <v>366.916</v>
      </c>
      <c r="N73" s="109">
        <f aca="true" t="shared" si="34" ref="N73:N136">IF(J73="","",J73)</f>
        <v>59.18</v>
      </c>
      <c r="O73" s="109">
        <f aca="true" t="shared" si="35" ref="O73:O136">IF(OR(J73="",T73=""),"",J73)</f>
        <v>59.18</v>
      </c>
      <c r="P73" s="109">
        <f aca="true" t="shared" si="36" ref="P73:P136">IF(OR(J73="",U73=""),"",J73)</f>
      </c>
      <c r="Q73" s="24">
        <f aca="true" t="shared" si="37" ref="Q73:Q136">IF(R73&gt;0,R73*((Q$6*(5280^2))/(3.2808^2))/(1000*(60*60*24)/(3.2808^3)),"")</f>
        <v>20.000000000192255</v>
      </c>
      <c r="R73" s="22">
        <v>0.030423175072463764</v>
      </c>
      <c r="S73" s="52">
        <v>0.45454545454545453</v>
      </c>
      <c r="T73" s="69" t="str">
        <f aca="true" t="shared" si="38" ref="T73:T136">IF(OR(MONTH($A73)&lt;MONTH(T$4),MONTH($A73)&gt;MONTH(T$6)),"","***")</f>
        <v>***</v>
      </c>
      <c r="U73" s="68">
        <f aca="true" t="shared" si="39" ref="U73:U136">IF(AND($R73&lt;U$6,$S73&lt;U$5),"","***")</f>
      </c>
      <c r="V73" s="62" t="str">
        <f t="shared" si="23"/>
        <v>***</v>
      </c>
      <c r="W73" s="47">
        <f aca="true" t="shared" si="40" ref="W73:W136">IF(E73="","",E73)</f>
        <v>39.800000000000004</v>
      </c>
      <c r="X73" s="47">
        <f aca="true" t="shared" si="41" ref="X73:X136">IF(V73="","",J73)</f>
        <v>59.18</v>
      </c>
      <c r="Y73" s="56">
        <f t="shared" si="24"/>
      </c>
      <c r="Z73" s="56">
        <f t="shared" si="25"/>
        <v>59.18</v>
      </c>
      <c r="AA73" s="56">
        <f t="shared" si="26"/>
      </c>
      <c r="AB73" s="56">
        <f t="shared" si="27"/>
      </c>
      <c r="AC73" s="56">
        <f t="shared" si="28"/>
      </c>
    </row>
    <row r="74" spans="1:29" ht="15">
      <c r="A74" s="82">
        <v>35625</v>
      </c>
      <c r="B74" s="83">
        <v>0.6840277777777778</v>
      </c>
      <c r="C74" s="37">
        <v>74</v>
      </c>
      <c r="D74" s="21">
        <v>0.626</v>
      </c>
      <c r="E74" s="12">
        <f t="shared" si="29"/>
        <v>62.6</v>
      </c>
      <c r="F74" s="10">
        <v>78</v>
      </c>
      <c r="G74" s="10">
        <v>1400</v>
      </c>
      <c r="H74" s="80">
        <v>1.5</v>
      </c>
      <c r="I74" s="54">
        <v>0.27</v>
      </c>
      <c r="J74" s="8">
        <f t="shared" si="30"/>
        <v>15.52668</v>
      </c>
      <c r="K74" s="7">
        <f t="shared" si="31"/>
        <v>2534665996800</v>
      </c>
      <c r="L74" s="8">
        <f t="shared" si="32"/>
        <v>597.18</v>
      </c>
      <c r="M74" s="8">
        <f t="shared" si="33"/>
        <v>107.4924</v>
      </c>
      <c r="N74" s="109">
        <f t="shared" si="34"/>
        <v>15.52668</v>
      </c>
      <c r="O74" s="109">
        <f t="shared" si="35"/>
        <v>15.52668</v>
      </c>
      <c r="P74" s="109">
        <f t="shared" si="36"/>
      </c>
      <c r="Q74" s="24">
        <f t="shared" si="37"/>
      </c>
      <c r="R74" s="22">
        <v>-0.016732746289855074</v>
      </c>
      <c r="S74" s="52">
        <v>0.3108108108108108</v>
      </c>
      <c r="T74" s="69" t="str">
        <f t="shared" si="38"/>
        <v>***</v>
      </c>
      <c r="U74" s="68">
        <f t="shared" si="39"/>
      </c>
      <c r="V74" s="62" t="str">
        <f t="shared" si="23"/>
        <v>***</v>
      </c>
      <c r="W74" s="47">
        <f t="shared" si="40"/>
        <v>62.6</v>
      </c>
      <c r="X74" s="47">
        <f t="shared" si="41"/>
        <v>15.52668</v>
      </c>
      <c r="Y74" s="56">
        <f t="shared" si="24"/>
      </c>
      <c r="Z74" s="56">
        <f t="shared" si="25"/>
      </c>
      <c r="AA74" s="56">
        <f t="shared" si="26"/>
      </c>
      <c r="AB74" s="56">
        <f t="shared" si="27"/>
        <v>15.52668</v>
      </c>
      <c r="AC74" s="56">
        <f t="shared" si="28"/>
      </c>
    </row>
    <row r="75" spans="1:29" ht="15">
      <c r="A75" s="82">
        <v>35653</v>
      </c>
      <c r="B75" s="83">
        <v>0.6736111111111112</v>
      </c>
      <c r="C75" s="37">
        <v>36</v>
      </c>
      <c r="D75" s="21">
        <v>0.79</v>
      </c>
      <c r="E75" s="12">
        <f t="shared" si="29"/>
        <v>79</v>
      </c>
      <c r="F75" s="10">
        <v>84</v>
      </c>
      <c r="G75" s="10">
        <v>520</v>
      </c>
      <c r="H75" s="80">
        <v>0.1</v>
      </c>
      <c r="I75" s="54">
        <v>0.36</v>
      </c>
      <c r="J75" s="8">
        <f t="shared" si="30"/>
        <v>8.13456</v>
      </c>
      <c r="K75" s="7">
        <f t="shared" si="31"/>
        <v>458001423360</v>
      </c>
      <c r="L75" s="8">
        <f t="shared" si="32"/>
        <v>19.368</v>
      </c>
      <c r="M75" s="8">
        <f t="shared" si="33"/>
        <v>69.72479999999999</v>
      </c>
      <c r="N75" s="109">
        <f t="shared" si="34"/>
        <v>8.13456</v>
      </c>
      <c r="O75" s="109">
        <f t="shared" si="35"/>
        <v>8.13456</v>
      </c>
      <c r="P75" s="109">
        <f t="shared" si="36"/>
      </c>
      <c r="Q75" s="24">
        <f t="shared" si="37"/>
      </c>
      <c r="R75" s="22">
        <v>-0.0015211587536231883</v>
      </c>
      <c r="S75" s="52">
        <v>0</v>
      </c>
      <c r="T75" s="69" t="str">
        <f t="shared" si="38"/>
        <v>***</v>
      </c>
      <c r="U75" s="68">
        <f t="shared" si="39"/>
      </c>
      <c r="V75" s="62" t="str">
        <f t="shared" si="23"/>
        <v>***</v>
      </c>
      <c r="W75" s="47">
        <f t="shared" si="40"/>
        <v>79</v>
      </c>
      <c r="X75" s="47">
        <f t="shared" si="41"/>
        <v>8.13456</v>
      </c>
      <c r="Y75" s="56">
        <f t="shared" si="24"/>
      </c>
      <c r="Z75" s="56">
        <f t="shared" si="25"/>
      </c>
      <c r="AA75" s="56">
        <f t="shared" si="26"/>
      </c>
      <c r="AB75" s="56">
        <f t="shared" si="27"/>
        <v>8.13456</v>
      </c>
      <c r="AC75" s="56">
        <f t="shared" si="28"/>
      </c>
    </row>
    <row r="76" spans="1:29" ht="15">
      <c r="A76" s="82">
        <v>35689</v>
      </c>
      <c r="B76" s="83">
        <v>0.7291666666666666</v>
      </c>
      <c r="C76" s="37">
        <v>50</v>
      </c>
      <c r="D76" s="21">
        <v>0.71</v>
      </c>
      <c r="E76" s="12">
        <f t="shared" si="29"/>
        <v>71</v>
      </c>
      <c r="F76" s="10">
        <v>52</v>
      </c>
      <c r="G76" s="10">
        <v>470</v>
      </c>
      <c r="H76" s="80">
        <v>1</v>
      </c>
      <c r="I76" s="54">
        <v>0.24</v>
      </c>
      <c r="J76" s="8">
        <f t="shared" si="30"/>
        <v>6.994000000000001</v>
      </c>
      <c r="K76" s="7">
        <f t="shared" si="31"/>
        <v>574948368000</v>
      </c>
      <c r="L76" s="8">
        <f t="shared" si="32"/>
        <v>269</v>
      </c>
      <c r="M76" s="8">
        <f t="shared" si="33"/>
        <v>64.56</v>
      </c>
      <c r="N76" s="109">
        <f t="shared" si="34"/>
        <v>6.994000000000001</v>
      </c>
      <c r="O76" s="109">
        <f t="shared" si="35"/>
        <v>6.994000000000001</v>
      </c>
      <c r="P76" s="109">
        <f t="shared" si="36"/>
      </c>
      <c r="Q76" s="24">
        <f t="shared" si="37"/>
      </c>
      <c r="R76" s="22">
        <v>-0.024338540057971012</v>
      </c>
      <c r="S76" s="52">
        <v>0</v>
      </c>
      <c r="T76" s="69" t="str">
        <f t="shared" si="38"/>
        <v>***</v>
      </c>
      <c r="U76" s="68">
        <f t="shared" si="39"/>
      </c>
      <c r="V76" s="62" t="str">
        <f t="shared" si="23"/>
        <v>***</v>
      </c>
      <c r="W76" s="47">
        <f t="shared" si="40"/>
        <v>71</v>
      </c>
      <c r="X76" s="47">
        <f t="shared" si="41"/>
        <v>6.994000000000001</v>
      </c>
      <c r="Y76" s="56">
        <f t="shared" si="24"/>
      </c>
      <c r="Z76" s="56">
        <f t="shared" si="25"/>
      </c>
      <c r="AA76" s="56">
        <f t="shared" si="26"/>
      </c>
      <c r="AB76" s="56">
        <f t="shared" si="27"/>
        <v>6.994000000000001</v>
      </c>
      <c r="AC76" s="56">
        <f t="shared" si="28"/>
      </c>
    </row>
    <row r="77" spans="1:29" ht="15">
      <c r="A77" s="82">
        <v>35717</v>
      </c>
      <c r="B77" s="83">
        <v>0.6840277777777778</v>
      </c>
      <c r="C77" s="37">
        <v>55</v>
      </c>
      <c r="D77" s="21">
        <v>0.69</v>
      </c>
      <c r="E77" s="12">
        <f t="shared" si="29"/>
        <v>69</v>
      </c>
      <c r="F77" s="10">
        <v>30</v>
      </c>
      <c r="G77" s="10">
        <v>520</v>
      </c>
      <c r="H77" s="80">
        <v>0.1</v>
      </c>
      <c r="I77" s="54">
        <v>0.24</v>
      </c>
      <c r="J77" s="8">
        <f t="shared" si="30"/>
        <v>4.4385</v>
      </c>
      <c r="K77" s="7">
        <f t="shared" si="31"/>
        <v>699724396800</v>
      </c>
      <c r="L77" s="8">
        <f t="shared" si="32"/>
        <v>29.59</v>
      </c>
      <c r="M77" s="8">
        <f t="shared" si="33"/>
        <v>71.01599999999999</v>
      </c>
      <c r="N77" s="109">
        <f t="shared" si="34"/>
        <v>4.4385</v>
      </c>
      <c r="O77" s="109">
        <f t="shared" si="35"/>
        <v>4.4385</v>
      </c>
      <c r="P77" s="109">
        <f t="shared" si="36"/>
      </c>
      <c r="Q77" s="24">
        <f t="shared" si="37"/>
        <v>17.000000000163418</v>
      </c>
      <c r="R77" s="22">
        <v>0.025859698811594202</v>
      </c>
      <c r="S77" s="52">
        <v>0.4</v>
      </c>
      <c r="T77" s="69" t="str">
        <f t="shared" si="38"/>
        <v>***</v>
      </c>
      <c r="U77" s="68">
        <f t="shared" si="39"/>
      </c>
      <c r="V77" s="62" t="str">
        <f t="shared" si="23"/>
        <v>***</v>
      </c>
      <c r="W77" s="47">
        <f t="shared" si="40"/>
        <v>69</v>
      </c>
      <c r="X77" s="47">
        <f t="shared" si="41"/>
        <v>4.4385</v>
      </c>
      <c r="Y77" s="56">
        <f t="shared" si="24"/>
      </c>
      <c r="Z77" s="56">
        <f t="shared" si="25"/>
      </c>
      <c r="AA77" s="56">
        <f t="shared" si="26"/>
      </c>
      <c r="AB77" s="56">
        <f t="shared" si="27"/>
        <v>4.4385</v>
      </c>
      <c r="AC77" s="56">
        <f t="shared" si="28"/>
      </c>
    </row>
    <row r="78" spans="1:29" ht="15">
      <c r="A78" s="82">
        <v>35747</v>
      </c>
      <c r="B78" s="83">
        <v>0.6805555555555555</v>
      </c>
      <c r="C78" s="37">
        <v>38</v>
      </c>
      <c r="D78" s="21">
        <v>0.776</v>
      </c>
      <c r="E78" s="12">
        <f t="shared" si="29"/>
        <v>77.60000000000001</v>
      </c>
      <c r="F78" s="10">
        <v>9</v>
      </c>
      <c r="G78" s="10">
        <v>30</v>
      </c>
      <c r="H78" s="80">
        <v>0.5</v>
      </c>
      <c r="I78" s="54">
        <v>0.14</v>
      </c>
      <c r="J78" s="8">
        <f t="shared" si="30"/>
        <v>0.91998</v>
      </c>
      <c r="K78" s="7">
        <f t="shared" si="31"/>
        <v>27891112320</v>
      </c>
      <c r="L78" s="8">
        <f t="shared" si="32"/>
        <v>102.22</v>
      </c>
      <c r="M78" s="8">
        <f t="shared" si="33"/>
        <v>28.6216</v>
      </c>
      <c r="N78" s="109">
        <f t="shared" si="34"/>
        <v>0.91998</v>
      </c>
      <c r="O78" s="109">
        <f t="shared" si="35"/>
      </c>
      <c r="P78" s="109">
        <f t="shared" si="36"/>
      </c>
      <c r="Q78" s="24">
        <f t="shared" si="37"/>
      </c>
      <c r="R78" s="22">
        <v>-0.004563476260869565</v>
      </c>
      <c r="S78" s="52">
        <v>0</v>
      </c>
      <c r="T78" s="69">
        <f t="shared" si="38"/>
      </c>
      <c r="U78" s="68">
        <f t="shared" si="39"/>
      </c>
      <c r="V78" s="62" t="str">
        <f t="shared" si="23"/>
        <v>***</v>
      </c>
      <c r="W78" s="47">
        <f t="shared" si="40"/>
        <v>77.60000000000001</v>
      </c>
      <c r="X78" s="47">
        <f t="shared" si="41"/>
        <v>0.91998</v>
      </c>
      <c r="Y78" s="56">
        <f t="shared" si="24"/>
      </c>
      <c r="Z78" s="56">
        <f t="shared" si="25"/>
      </c>
      <c r="AA78" s="56">
        <f t="shared" si="26"/>
      </c>
      <c r="AB78" s="56">
        <f t="shared" si="27"/>
        <v>0.91998</v>
      </c>
      <c r="AC78" s="56">
        <f t="shared" si="28"/>
      </c>
    </row>
    <row r="79" spans="1:29" ht="15">
      <c r="A79" s="82">
        <v>35786</v>
      </c>
      <c r="B79" s="83">
        <v>0.6701388888888888</v>
      </c>
      <c r="C79" s="37">
        <v>160</v>
      </c>
      <c r="D79" s="21">
        <v>0.46099999999999997</v>
      </c>
      <c r="E79" s="12">
        <f t="shared" si="29"/>
        <v>46.099999999999994</v>
      </c>
      <c r="F79" s="10">
        <v>11</v>
      </c>
      <c r="G79" s="10">
        <v>400</v>
      </c>
      <c r="H79" s="80">
        <v>3.6</v>
      </c>
      <c r="I79" s="54">
        <v>0.14</v>
      </c>
      <c r="J79" s="8">
        <f t="shared" si="30"/>
        <v>4.7344</v>
      </c>
      <c r="K79" s="7">
        <f t="shared" si="31"/>
        <v>1565816832000</v>
      </c>
      <c r="L79" s="8">
        <f t="shared" si="32"/>
        <v>3098.88</v>
      </c>
      <c r="M79" s="8">
        <f t="shared" si="33"/>
        <v>120.51200000000001</v>
      </c>
      <c r="N79" s="109">
        <f t="shared" si="34"/>
        <v>4.7344</v>
      </c>
      <c r="O79" s="109">
        <f t="shared" si="35"/>
      </c>
      <c r="P79" s="109">
        <f t="shared" si="36"/>
      </c>
      <c r="Q79" s="24">
        <f t="shared" si="37"/>
        <v>50.00000000048064</v>
      </c>
      <c r="R79" s="22">
        <v>0.07605793768115941</v>
      </c>
      <c r="S79" s="52">
        <v>0.3125</v>
      </c>
      <c r="T79" s="69">
        <f t="shared" si="38"/>
      </c>
      <c r="U79" s="68">
        <f t="shared" si="39"/>
      </c>
      <c r="V79" s="62" t="str">
        <f t="shared" si="23"/>
        <v>***</v>
      </c>
      <c r="W79" s="47">
        <f t="shared" si="40"/>
        <v>46.099999999999994</v>
      </c>
      <c r="X79" s="47">
        <f t="shared" si="41"/>
        <v>4.7344</v>
      </c>
      <c r="Y79" s="56">
        <f t="shared" si="24"/>
      </c>
      <c r="Z79" s="56">
        <f t="shared" si="25"/>
      </c>
      <c r="AA79" s="56">
        <f t="shared" si="26"/>
        <v>4.7344</v>
      </c>
      <c r="AB79" s="56">
        <f t="shared" si="27"/>
      </c>
      <c r="AC79" s="56">
        <f t="shared" si="28"/>
      </c>
    </row>
    <row r="80" spans="1:29" ht="15">
      <c r="A80" s="82">
        <v>35822</v>
      </c>
      <c r="B80" s="83">
        <v>0.6840277777777778</v>
      </c>
      <c r="C80" s="37">
        <v>509</v>
      </c>
      <c r="D80" s="21">
        <v>0.254</v>
      </c>
      <c r="E80" s="12">
        <f t="shared" si="29"/>
        <v>25.4</v>
      </c>
      <c r="F80" s="10">
        <v>40</v>
      </c>
      <c r="G80" s="10">
        <v>2100</v>
      </c>
      <c r="H80" s="80">
        <v>6.1</v>
      </c>
      <c r="I80" s="54">
        <v>0.26</v>
      </c>
      <c r="J80" s="8">
        <f t="shared" si="30"/>
        <v>54.7684</v>
      </c>
      <c r="K80" s="7">
        <f t="shared" si="31"/>
        <v>26151587683200</v>
      </c>
      <c r="L80" s="8">
        <f t="shared" si="32"/>
        <v>16704.361999999997</v>
      </c>
      <c r="M80" s="8">
        <f t="shared" si="33"/>
        <v>711.9892</v>
      </c>
      <c r="N80" s="109">
        <f t="shared" si="34"/>
        <v>54.7684</v>
      </c>
      <c r="O80" s="109">
        <f t="shared" si="35"/>
      </c>
      <c r="P80" s="109">
        <f t="shared" si="36"/>
        <v>54.7684</v>
      </c>
      <c r="Q80" s="24">
        <f t="shared" si="37"/>
        <v>117.0000000011247</v>
      </c>
      <c r="R80" s="22">
        <v>0.17797557417391302</v>
      </c>
      <c r="S80" s="52">
        <v>0.48919449901768175</v>
      </c>
      <c r="T80" s="69">
        <f t="shared" si="38"/>
      </c>
      <c r="U80" s="68" t="str">
        <f t="shared" si="39"/>
        <v>***</v>
      </c>
      <c r="V80" s="62" t="str">
        <f t="shared" si="23"/>
        <v>***</v>
      </c>
      <c r="W80" s="47">
        <f t="shared" si="40"/>
        <v>25.4</v>
      </c>
      <c r="X80" s="47">
        <f t="shared" si="41"/>
        <v>54.7684</v>
      </c>
      <c r="Y80" s="56">
        <f t="shared" si="24"/>
      </c>
      <c r="Z80" s="56">
        <f t="shared" si="25"/>
        <v>54.7684</v>
      </c>
      <c r="AA80" s="56">
        <f t="shared" si="26"/>
      </c>
      <c r="AB80" s="56">
        <f t="shared" si="27"/>
      </c>
      <c r="AC80" s="56">
        <f t="shared" si="28"/>
      </c>
    </row>
    <row r="81" spans="1:29" ht="15">
      <c r="A81" s="82">
        <v>35850</v>
      </c>
      <c r="B81" s="83">
        <v>0.7013888888888888</v>
      </c>
      <c r="C81" s="37">
        <v>1050</v>
      </c>
      <c r="D81" s="21">
        <v>0.14900000000000002</v>
      </c>
      <c r="E81" s="12">
        <f t="shared" si="29"/>
        <v>14.900000000000002</v>
      </c>
      <c r="F81" s="10">
        <v>64</v>
      </c>
      <c r="G81" s="10">
        <v>60</v>
      </c>
      <c r="H81" s="80">
        <v>6.3</v>
      </c>
      <c r="I81" s="54">
        <v>0.27</v>
      </c>
      <c r="J81" s="8">
        <f t="shared" si="30"/>
        <v>180.768</v>
      </c>
      <c r="K81" s="7">
        <f t="shared" si="31"/>
        <v>1541350944000</v>
      </c>
      <c r="L81" s="8">
        <f t="shared" si="32"/>
        <v>35588.7</v>
      </c>
      <c r="M81" s="8">
        <f t="shared" si="33"/>
        <v>1525.23</v>
      </c>
      <c r="N81" s="109">
        <f t="shared" si="34"/>
        <v>180.768</v>
      </c>
      <c r="O81" s="109">
        <f t="shared" si="35"/>
      </c>
      <c r="P81" s="109">
        <f t="shared" si="36"/>
        <v>180.768</v>
      </c>
      <c r="Q81" s="24">
        <f t="shared" si="37"/>
      </c>
      <c r="R81" s="22">
        <v>-0.8974836646376811</v>
      </c>
      <c r="S81" s="52">
        <v>0.6704761904761904</v>
      </c>
      <c r="T81" s="69">
        <f t="shared" si="38"/>
      </c>
      <c r="U81" s="68" t="str">
        <f t="shared" si="39"/>
        <v>***</v>
      </c>
      <c r="V81" s="62" t="str">
        <f t="shared" si="23"/>
        <v>***</v>
      </c>
      <c r="W81" s="47">
        <f t="shared" si="40"/>
        <v>14.900000000000002</v>
      </c>
      <c r="X81" s="47">
        <f t="shared" si="41"/>
        <v>180.768</v>
      </c>
      <c r="Y81" s="56">
        <f t="shared" si="24"/>
      </c>
      <c r="Z81" s="56">
        <f t="shared" si="25"/>
        <v>180.768</v>
      </c>
      <c r="AA81" s="56">
        <f t="shared" si="26"/>
      </c>
      <c r="AB81" s="56">
        <f t="shared" si="27"/>
      </c>
      <c r="AC81" s="56">
        <f t="shared" si="28"/>
      </c>
    </row>
    <row r="82" spans="1:29" ht="15">
      <c r="A82" s="82">
        <v>35877</v>
      </c>
      <c r="B82" s="83">
        <v>0.7083333333333334</v>
      </c>
      <c r="C82" s="37">
        <v>3180</v>
      </c>
      <c r="D82" s="21">
        <v>0.03</v>
      </c>
      <c r="E82" s="12">
        <f t="shared" si="29"/>
        <v>3</v>
      </c>
      <c r="F82" s="10">
        <v>98</v>
      </c>
      <c r="G82" s="10">
        <v>420</v>
      </c>
      <c r="H82" s="80">
        <v>5.8</v>
      </c>
      <c r="I82" s="54">
        <v>0.47</v>
      </c>
      <c r="J82" s="8">
        <f t="shared" si="30"/>
        <v>838.3116</v>
      </c>
      <c r="K82" s="7">
        <f t="shared" si="31"/>
        <v>32676640012800</v>
      </c>
      <c r="L82" s="8">
        <f t="shared" si="32"/>
        <v>99228.72</v>
      </c>
      <c r="M82" s="8">
        <f t="shared" si="33"/>
        <v>8040.947999999999</v>
      </c>
      <c r="N82" s="109">
        <f t="shared" si="34"/>
        <v>838.3116</v>
      </c>
      <c r="O82" s="109">
        <f t="shared" si="35"/>
      </c>
      <c r="P82" s="109">
        <f t="shared" si="36"/>
        <v>838.3116</v>
      </c>
      <c r="Q82" s="24">
        <f t="shared" si="37"/>
      </c>
      <c r="R82" s="22">
        <v>-0.6236750889855073</v>
      </c>
      <c r="S82" s="52">
        <v>0.6352201257861635</v>
      </c>
      <c r="T82" s="69">
        <f t="shared" si="38"/>
      </c>
      <c r="U82" s="68" t="str">
        <f t="shared" si="39"/>
        <v>***</v>
      </c>
      <c r="V82" s="62" t="str">
        <f t="shared" si="23"/>
        <v>***</v>
      </c>
      <c r="W82" s="47">
        <f t="shared" si="40"/>
        <v>3</v>
      </c>
      <c r="X82" s="47">
        <f t="shared" si="41"/>
        <v>838.3116</v>
      </c>
      <c r="Y82" s="56">
        <f t="shared" si="24"/>
        <v>838.3116</v>
      </c>
      <c r="Z82" s="56">
        <f t="shared" si="25"/>
      </c>
      <c r="AA82" s="56">
        <f t="shared" si="26"/>
      </c>
      <c r="AB82" s="56">
        <f t="shared" si="27"/>
      </c>
      <c r="AC82" s="56">
        <f t="shared" si="28"/>
      </c>
    </row>
    <row r="83" spans="1:29" ht="15">
      <c r="A83" s="82">
        <v>35906</v>
      </c>
      <c r="B83" s="83">
        <v>0.625</v>
      </c>
      <c r="C83" s="37">
        <v>462</v>
      </c>
      <c r="D83" s="21">
        <v>0.27</v>
      </c>
      <c r="E83" s="12">
        <f t="shared" si="29"/>
        <v>27</v>
      </c>
      <c r="F83" s="10">
        <v>102</v>
      </c>
      <c r="G83" s="10" t="s">
        <v>50</v>
      </c>
      <c r="H83" s="80">
        <v>4.6</v>
      </c>
      <c r="I83" s="54">
        <v>0.28</v>
      </c>
      <c r="J83" s="8">
        <f t="shared" si="30"/>
        <v>126.76356000000001</v>
      </c>
      <c r="K83" s="7">
        <f t="shared" si="31"/>
      </c>
      <c r="L83" s="8">
        <f t="shared" si="32"/>
        <v>11433.576</v>
      </c>
      <c r="M83" s="8">
        <f t="shared" si="33"/>
        <v>695.9568</v>
      </c>
      <c r="N83" s="109">
        <f t="shared" si="34"/>
        <v>126.76356000000001</v>
      </c>
      <c r="O83" s="109">
        <f t="shared" si="35"/>
      </c>
      <c r="P83" s="109">
        <f t="shared" si="36"/>
        <v>126.76356000000001</v>
      </c>
      <c r="Q83" s="24">
        <f t="shared" si="37"/>
      </c>
      <c r="R83" s="22">
        <v>-0.25403351185507245</v>
      </c>
      <c r="S83" s="52">
        <v>0.5021645021645021</v>
      </c>
      <c r="T83" s="69">
        <f t="shared" si="38"/>
      </c>
      <c r="U83" s="68" t="str">
        <f t="shared" si="39"/>
        <v>***</v>
      </c>
      <c r="V83" s="62" t="str">
        <f t="shared" si="23"/>
        <v>***</v>
      </c>
      <c r="W83" s="47">
        <f t="shared" si="40"/>
        <v>27</v>
      </c>
      <c r="X83" s="47">
        <f t="shared" si="41"/>
        <v>126.76356000000001</v>
      </c>
      <c r="Y83" s="56">
        <f t="shared" si="24"/>
      </c>
      <c r="Z83" s="56">
        <f t="shared" si="25"/>
        <v>126.76356000000001</v>
      </c>
      <c r="AA83" s="56">
        <f t="shared" si="26"/>
      </c>
      <c r="AB83" s="56">
        <f t="shared" si="27"/>
      </c>
      <c r="AC83" s="56">
        <f t="shared" si="28"/>
      </c>
    </row>
    <row r="84" spans="1:29" ht="15">
      <c r="A84" s="82">
        <v>35935</v>
      </c>
      <c r="B84" s="83">
        <v>0.7743055555555555</v>
      </c>
      <c r="C84" s="37">
        <v>125</v>
      </c>
      <c r="D84" s="21">
        <v>0.512</v>
      </c>
      <c r="E84" s="12">
        <f t="shared" si="29"/>
        <v>51.2</v>
      </c>
      <c r="F84" s="10">
        <v>100</v>
      </c>
      <c r="G84" s="10" t="s">
        <v>50</v>
      </c>
      <c r="H84" s="80">
        <v>3.2</v>
      </c>
      <c r="I84" s="54">
        <v>0.34</v>
      </c>
      <c r="J84" s="8">
        <f t="shared" si="30"/>
        <v>33.625</v>
      </c>
      <c r="K84" s="7">
        <f t="shared" si="31"/>
      </c>
      <c r="L84" s="8">
        <f t="shared" si="32"/>
        <v>2152</v>
      </c>
      <c r="M84" s="8">
        <f t="shared" si="33"/>
        <v>228.65</v>
      </c>
      <c r="N84" s="109">
        <f t="shared" si="34"/>
        <v>33.625</v>
      </c>
      <c r="O84" s="109">
        <f t="shared" si="35"/>
      </c>
      <c r="P84" s="109">
        <f t="shared" si="36"/>
      </c>
      <c r="Q84" s="24">
        <f t="shared" si="37"/>
        <v>19.000000000182645</v>
      </c>
      <c r="R84" s="22">
        <v>0.02890201631884058</v>
      </c>
      <c r="S84" s="52">
        <v>0.224</v>
      </c>
      <c r="T84" s="69">
        <f t="shared" si="38"/>
      </c>
      <c r="U84" s="68">
        <f t="shared" si="39"/>
      </c>
      <c r="V84" s="62" t="str">
        <f t="shared" si="23"/>
        <v>***</v>
      </c>
      <c r="W84" s="47">
        <f t="shared" si="40"/>
        <v>51.2</v>
      </c>
      <c r="X84" s="47">
        <f t="shared" si="41"/>
        <v>33.625</v>
      </c>
      <c r="Y84" s="56">
        <f t="shared" si="24"/>
      </c>
      <c r="Z84" s="56">
        <f t="shared" si="25"/>
      </c>
      <c r="AA84" s="56">
        <f t="shared" si="26"/>
        <v>33.625</v>
      </c>
      <c r="AB84" s="56">
        <f t="shared" si="27"/>
      </c>
      <c r="AC84" s="56">
        <f t="shared" si="28"/>
      </c>
    </row>
    <row r="85" spans="1:29" ht="15">
      <c r="A85" s="82">
        <v>35963</v>
      </c>
      <c r="B85" s="83">
        <v>0.6666666666666666</v>
      </c>
      <c r="C85" s="37">
        <v>2610</v>
      </c>
      <c r="D85" s="21">
        <v>0.04400000000000004</v>
      </c>
      <c r="E85" s="12">
        <f t="shared" si="29"/>
        <v>4.400000000000004</v>
      </c>
      <c r="F85" s="10">
        <v>86</v>
      </c>
      <c r="G85" s="10" t="s">
        <v>50</v>
      </c>
      <c r="H85" s="80">
        <v>16</v>
      </c>
      <c r="I85" s="54">
        <v>0.3</v>
      </c>
      <c r="J85" s="8">
        <f t="shared" si="30"/>
        <v>603.7974</v>
      </c>
      <c r="K85" s="7">
        <f t="shared" si="31"/>
      </c>
      <c r="L85" s="8">
        <f t="shared" si="32"/>
        <v>224668.8</v>
      </c>
      <c r="M85" s="8">
        <f t="shared" si="33"/>
        <v>4212.54</v>
      </c>
      <c r="N85" s="109">
        <f t="shared" si="34"/>
        <v>603.7974</v>
      </c>
      <c r="O85" s="109">
        <f t="shared" si="35"/>
        <v>603.7974</v>
      </c>
      <c r="P85" s="109">
        <f t="shared" si="36"/>
        <v>603.7974</v>
      </c>
      <c r="Q85" s="24">
        <f t="shared" si="37"/>
        <v>230.00000000221095</v>
      </c>
      <c r="R85" s="22">
        <v>0.3498665133333333</v>
      </c>
      <c r="S85" s="52">
        <v>0.6325670498084291</v>
      </c>
      <c r="T85" s="69" t="str">
        <f t="shared" si="38"/>
        <v>***</v>
      </c>
      <c r="U85" s="68" t="str">
        <f t="shared" si="39"/>
        <v>***</v>
      </c>
      <c r="V85" s="62" t="str">
        <f t="shared" si="23"/>
        <v>***</v>
      </c>
      <c r="W85" s="47">
        <f t="shared" si="40"/>
        <v>4.400000000000004</v>
      </c>
      <c r="X85" s="47">
        <f t="shared" si="41"/>
        <v>603.7974</v>
      </c>
      <c r="Y85" s="56">
        <f t="shared" si="24"/>
        <v>603.7974</v>
      </c>
      <c r="Z85" s="56">
        <f t="shared" si="25"/>
      </c>
      <c r="AA85" s="56">
        <f t="shared" si="26"/>
      </c>
      <c r="AB85" s="56">
        <f t="shared" si="27"/>
      </c>
      <c r="AC85" s="56">
        <f t="shared" si="28"/>
      </c>
    </row>
    <row r="86" spans="1:29" ht="15">
      <c r="A86" s="82">
        <v>35998</v>
      </c>
      <c r="B86" s="83">
        <v>0.6458333333333334</v>
      </c>
      <c r="C86" s="37">
        <v>2000</v>
      </c>
      <c r="D86" s="21">
        <v>0.06899999999999995</v>
      </c>
      <c r="E86" s="12">
        <f t="shared" si="29"/>
        <v>6.899999999999995</v>
      </c>
      <c r="F86" s="10">
        <v>220</v>
      </c>
      <c r="G86" s="10" t="s">
        <v>50</v>
      </c>
      <c r="H86" s="80">
        <v>2.8</v>
      </c>
      <c r="I86" s="54">
        <v>0.65</v>
      </c>
      <c r="J86" s="8">
        <f t="shared" si="30"/>
        <v>1183.6000000000001</v>
      </c>
      <c r="K86" s="7">
        <f t="shared" si="31"/>
      </c>
      <c r="L86" s="8">
        <f t="shared" si="32"/>
        <v>30128</v>
      </c>
      <c r="M86" s="8">
        <f t="shared" si="33"/>
        <v>6994</v>
      </c>
      <c r="N86" s="109">
        <f t="shared" si="34"/>
        <v>1183.6000000000001</v>
      </c>
      <c r="O86" s="109">
        <f t="shared" si="35"/>
        <v>1183.6000000000001</v>
      </c>
      <c r="P86" s="109">
        <f t="shared" si="36"/>
        <v>1183.6000000000001</v>
      </c>
      <c r="Q86" s="24">
        <f t="shared" si="37"/>
        <v>1940.0000000186485</v>
      </c>
      <c r="R86" s="22">
        <v>2.951047982028985</v>
      </c>
      <c r="S86" s="52">
        <v>0.972</v>
      </c>
      <c r="T86" s="69" t="str">
        <f t="shared" si="38"/>
        <v>***</v>
      </c>
      <c r="U86" s="68" t="str">
        <f t="shared" si="39"/>
        <v>***</v>
      </c>
      <c r="V86" s="62" t="str">
        <f t="shared" si="23"/>
        <v>***</v>
      </c>
      <c r="W86" s="47">
        <f t="shared" si="40"/>
        <v>6.899999999999995</v>
      </c>
      <c r="X86" s="47">
        <f t="shared" si="41"/>
        <v>1183.6000000000001</v>
      </c>
      <c r="Y86" s="56">
        <f t="shared" si="24"/>
        <v>1183.6000000000001</v>
      </c>
      <c r="Z86" s="56">
        <f t="shared" si="25"/>
      </c>
      <c r="AA86" s="56">
        <f t="shared" si="26"/>
      </c>
      <c r="AB86" s="56">
        <f t="shared" si="27"/>
      </c>
      <c r="AC86" s="56">
        <f t="shared" si="28"/>
      </c>
    </row>
    <row r="87" spans="1:29" ht="15">
      <c r="A87" s="82">
        <v>36027</v>
      </c>
      <c r="B87" s="83">
        <v>0.3958333333333333</v>
      </c>
      <c r="C87" s="37">
        <v>65</v>
      </c>
      <c r="D87" s="21">
        <v>0.656</v>
      </c>
      <c r="E87" s="12">
        <f t="shared" si="29"/>
        <v>65.60000000000001</v>
      </c>
      <c r="F87" s="10">
        <v>35</v>
      </c>
      <c r="G87" s="10" t="s">
        <v>50</v>
      </c>
      <c r="H87" s="80">
        <v>0.1</v>
      </c>
      <c r="I87" s="54">
        <v>0.29</v>
      </c>
      <c r="J87" s="8">
        <f t="shared" si="30"/>
        <v>6.119750000000001</v>
      </c>
      <c r="K87" s="7">
        <f t="shared" si="31"/>
      </c>
      <c r="L87" s="8">
        <f t="shared" si="32"/>
        <v>34.97</v>
      </c>
      <c r="M87" s="8">
        <f t="shared" si="33"/>
        <v>101.41299999999998</v>
      </c>
      <c r="N87" s="109">
        <f t="shared" si="34"/>
        <v>6.119750000000001</v>
      </c>
      <c r="O87" s="109">
        <f t="shared" si="35"/>
        <v>6.119750000000001</v>
      </c>
      <c r="P87" s="109">
        <f t="shared" si="36"/>
      </c>
      <c r="Q87" s="24">
        <f t="shared" si="37"/>
      </c>
      <c r="R87" s="22">
        <v>-0.00912695252173913</v>
      </c>
      <c r="S87" s="52">
        <v>0.2153846153846154</v>
      </c>
      <c r="T87" s="69" t="str">
        <f t="shared" si="38"/>
        <v>***</v>
      </c>
      <c r="U87" s="68">
        <f t="shared" si="39"/>
      </c>
      <c r="V87" s="62" t="str">
        <f t="shared" si="23"/>
        <v>***</v>
      </c>
      <c r="W87" s="47">
        <f t="shared" si="40"/>
        <v>65.60000000000001</v>
      </c>
      <c r="X87" s="47">
        <f t="shared" si="41"/>
        <v>6.119750000000001</v>
      </c>
      <c r="Y87" s="56">
        <f t="shared" si="24"/>
      </c>
      <c r="Z87" s="56">
        <f t="shared" si="25"/>
      </c>
      <c r="AA87" s="56">
        <f t="shared" si="26"/>
      </c>
      <c r="AB87" s="56">
        <f t="shared" si="27"/>
        <v>6.119750000000001</v>
      </c>
      <c r="AC87" s="56">
        <f t="shared" si="28"/>
      </c>
    </row>
    <row r="88" spans="1:29" ht="15">
      <c r="A88" s="82">
        <v>36052</v>
      </c>
      <c r="B88" s="83">
        <v>0.7083333333333334</v>
      </c>
      <c r="C88" s="37">
        <v>36</v>
      </c>
      <c r="D88" s="21">
        <v>0.79</v>
      </c>
      <c r="E88" s="12">
        <f t="shared" si="29"/>
        <v>79</v>
      </c>
      <c r="F88" s="10">
        <v>86</v>
      </c>
      <c r="G88" s="10" t="s">
        <v>50</v>
      </c>
      <c r="H88" s="80">
        <v>0.1</v>
      </c>
      <c r="I88" s="54">
        <v>0.25</v>
      </c>
      <c r="J88" s="8">
        <f t="shared" si="30"/>
        <v>8.328240000000001</v>
      </c>
      <c r="K88" s="7">
        <f t="shared" si="31"/>
      </c>
      <c r="L88" s="8">
        <f t="shared" si="32"/>
        <v>19.368</v>
      </c>
      <c r="M88" s="8">
        <f t="shared" si="33"/>
        <v>48.42</v>
      </c>
      <c r="N88" s="109">
        <f t="shared" si="34"/>
        <v>8.328240000000001</v>
      </c>
      <c r="O88" s="109">
        <f t="shared" si="35"/>
        <v>8.328240000000001</v>
      </c>
      <c r="P88" s="109">
        <f t="shared" si="36"/>
      </c>
      <c r="Q88" s="24">
        <f t="shared" si="37"/>
      </c>
      <c r="R88" s="22">
        <v>-0.0015211587536231883</v>
      </c>
      <c r="S88" s="52">
        <v>0.08333333333333333</v>
      </c>
      <c r="T88" s="69" t="str">
        <f t="shared" si="38"/>
        <v>***</v>
      </c>
      <c r="U88" s="68">
        <f t="shared" si="39"/>
      </c>
      <c r="V88" s="62" t="str">
        <f t="shared" si="23"/>
        <v>***</v>
      </c>
      <c r="W88" s="47">
        <f t="shared" si="40"/>
        <v>79</v>
      </c>
      <c r="X88" s="47">
        <f t="shared" si="41"/>
        <v>8.328240000000001</v>
      </c>
      <c r="Y88" s="56">
        <f t="shared" si="24"/>
      </c>
      <c r="Z88" s="56">
        <f t="shared" si="25"/>
      </c>
      <c r="AA88" s="56">
        <f t="shared" si="26"/>
      </c>
      <c r="AB88" s="56">
        <f t="shared" si="27"/>
        <v>8.328240000000001</v>
      </c>
      <c r="AC88" s="56">
        <f t="shared" si="28"/>
      </c>
    </row>
    <row r="89" spans="1:29" ht="15">
      <c r="A89" s="82">
        <v>36087</v>
      </c>
      <c r="B89" s="83">
        <v>0.5902777777777778</v>
      </c>
      <c r="C89" s="37">
        <v>37</v>
      </c>
      <c r="D89" s="21">
        <v>0.783</v>
      </c>
      <c r="E89" s="12">
        <f t="shared" si="29"/>
        <v>78.3</v>
      </c>
      <c r="F89" s="10">
        <v>44</v>
      </c>
      <c r="G89" s="10" t="s">
        <v>50</v>
      </c>
      <c r="H89" s="80">
        <v>0.1</v>
      </c>
      <c r="I89" s="54">
        <v>0.26</v>
      </c>
      <c r="J89" s="8">
        <f t="shared" si="30"/>
        <v>4.37932</v>
      </c>
      <c r="K89" s="7">
        <f t="shared" si="31"/>
      </c>
      <c r="L89" s="8">
        <f t="shared" si="32"/>
        <v>19.906</v>
      </c>
      <c r="M89" s="8">
        <f t="shared" si="33"/>
        <v>51.7556</v>
      </c>
      <c r="N89" s="109">
        <f t="shared" si="34"/>
        <v>4.37932</v>
      </c>
      <c r="O89" s="109">
        <f t="shared" si="35"/>
        <v>4.37932</v>
      </c>
      <c r="P89" s="109">
        <f t="shared" si="36"/>
      </c>
      <c r="Q89" s="24">
        <f t="shared" si="37"/>
      </c>
      <c r="R89" s="22">
        <v>-0.0015211587536231883</v>
      </c>
      <c r="S89" s="52">
        <v>0.13513513513513514</v>
      </c>
      <c r="T89" s="69" t="str">
        <f t="shared" si="38"/>
        <v>***</v>
      </c>
      <c r="U89" s="68">
        <f t="shared" si="39"/>
      </c>
      <c r="V89" s="62" t="str">
        <f t="shared" si="23"/>
        <v>***</v>
      </c>
      <c r="W89" s="47">
        <f t="shared" si="40"/>
        <v>78.3</v>
      </c>
      <c r="X89" s="47">
        <f t="shared" si="41"/>
        <v>4.37932</v>
      </c>
      <c r="Y89" s="56">
        <f t="shared" si="24"/>
      </c>
      <c r="Z89" s="56">
        <f t="shared" si="25"/>
      </c>
      <c r="AA89" s="56">
        <f t="shared" si="26"/>
      </c>
      <c r="AB89" s="56">
        <f t="shared" si="27"/>
        <v>4.37932</v>
      </c>
      <c r="AC89" s="56">
        <f t="shared" si="28"/>
      </c>
    </row>
    <row r="90" spans="1:29" ht="15">
      <c r="A90" s="82">
        <v>36108</v>
      </c>
      <c r="B90" s="83">
        <v>0.7222222222222222</v>
      </c>
      <c r="C90" s="37">
        <v>34</v>
      </c>
      <c r="D90" s="21">
        <v>0.806</v>
      </c>
      <c r="E90" s="12">
        <f t="shared" si="29"/>
        <v>80.60000000000001</v>
      </c>
      <c r="F90" s="10">
        <v>13</v>
      </c>
      <c r="G90" s="10" t="s">
        <v>50</v>
      </c>
      <c r="H90" s="80">
        <v>0.2</v>
      </c>
      <c r="I90" s="54">
        <v>0.2</v>
      </c>
      <c r="J90" s="8">
        <f t="shared" si="30"/>
        <v>1.1889800000000001</v>
      </c>
      <c r="K90" s="7">
        <f t="shared" si="31"/>
      </c>
      <c r="L90" s="8">
        <f t="shared" si="32"/>
        <v>36.584</v>
      </c>
      <c r="M90" s="8">
        <f t="shared" si="33"/>
        <v>36.584</v>
      </c>
      <c r="N90" s="109">
        <f t="shared" si="34"/>
        <v>1.1889800000000001</v>
      </c>
      <c r="O90" s="109">
        <f t="shared" si="35"/>
      </c>
      <c r="P90" s="109">
        <f t="shared" si="36"/>
      </c>
      <c r="Q90" s="24">
        <f t="shared" si="37"/>
      </c>
      <c r="R90" s="22">
        <v>0</v>
      </c>
      <c r="S90" s="52">
        <v>0</v>
      </c>
      <c r="T90" s="69">
        <f t="shared" si="38"/>
      </c>
      <c r="U90" s="68">
        <f t="shared" si="39"/>
      </c>
      <c r="V90" s="62" t="str">
        <f t="shared" si="23"/>
        <v>***</v>
      </c>
      <c r="W90" s="47">
        <f t="shared" si="40"/>
        <v>80.60000000000001</v>
      </c>
      <c r="X90" s="47">
        <f t="shared" si="41"/>
        <v>1.1889800000000001</v>
      </c>
      <c r="Y90" s="56">
        <f t="shared" si="24"/>
      </c>
      <c r="Z90" s="56">
        <f t="shared" si="25"/>
      </c>
      <c r="AA90" s="56">
        <f t="shared" si="26"/>
      </c>
      <c r="AB90" s="56">
        <f t="shared" si="27"/>
        <v>1.1889800000000001</v>
      </c>
      <c r="AC90" s="56">
        <f t="shared" si="28"/>
      </c>
    </row>
    <row r="91" spans="1:29" ht="15">
      <c r="A91" s="82">
        <v>36139</v>
      </c>
      <c r="B91" s="83">
        <v>0.6666666666666666</v>
      </c>
      <c r="C91" s="37">
        <v>43</v>
      </c>
      <c r="D91" s="21">
        <v>0.745</v>
      </c>
      <c r="E91" s="12">
        <f t="shared" si="29"/>
        <v>74.5</v>
      </c>
      <c r="F91" s="10">
        <v>11</v>
      </c>
      <c r="G91" s="10" t="s">
        <v>50</v>
      </c>
      <c r="H91" s="80">
        <v>0.4</v>
      </c>
      <c r="I91" s="54">
        <v>0.13</v>
      </c>
      <c r="J91" s="8">
        <f t="shared" si="30"/>
        <v>1.27237</v>
      </c>
      <c r="K91" s="7">
        <f t="shared" si="31"/>
      </c>
      <c r="L91" s="8">
        <f t="shared" si="32"/>
        <v>92.536</v>
      </c>
      <c r="M91" s="8">
        <f t="shared" si="33"/>
        <v>30.074199999999998</v>
      </c>
      <c r="N91" s="109">
        <f t="shared" si="34"/>
        <v>1.27237</v>
      </c>
      <c r="O91" s="109">
        <f t="shared" si="35"/>
      </c>
      <c r="P91" s="109">
        <f t="shared" si="36"/>
      </c>
      <c r="Q91" s="24">
        <f t="shared" si="37"/>
      </c>
      <c r="R91" s="22">
        <v>-0.0030423175072463765</v>
      </c>
      <c r="S91" s="52">
        <v>0.06976744186046512</v>
      </c>
      <c r="T91" s="69">
        <f t="shared" si="38"/>
      </c>
      <c r="U91" s="68">
        <f t="shared" si="39"/>
      </c>
      <c r="V91" s="62" t="str">
        <f t="shared" si="23"/>
        <v>***</v>
      </c>
      <c r="W91" s="47">
        <f t="shared" si="40"/>
        <v>74.5</v>
      </c>
      <c r="X91" s="47">
        <f t="shared" si="41"/>
        <v>1.27237</v>
      </c>
      <c r="Y91" s="56">
        <f t="shared" si="24"/>
      </c>
      <c r="Z91" s="56">
        <f t="shared" si="25"/>
      </c>
      <c r="AA91" s="56">
        <f t="shared" si="26"/>
      </c>
      <c r="AB91" s="56">
        <f t="shared" si="27"/>
        <v>1.27237</v>
      </c>
      <c r="AC91" s="56">
        <f t="shared" si="28"/>
      </c>
    </row>
    <row r="92" spans="1:29" ht="15">
      <c r="A92" s="82">
        <v>36181</v>
      </c>
      <c r="B92" s="83">
        <v>0.6791666666666667</v>
      </c>
      <c r="C92" s="37">
        <v>500</v>
      </c>
      <c r="D92" s="21">
        <v>0.258</v>
      </c>
      <c r="E92" s="12">
        <f t="shared" si="29"/>
        <v>25.8</v>
      </c>
      <c r="F92" s="10">
        <v>34</v>
      </c>
      <c r="G92" s="10" t="s">
        <v>50</v>
      </c>
      <c r="H92" s="80">
        <v>5.8</v>
      </c>
      <c r="I92" s="54">
        <v>0.28</v>
      </c>
      <c r="J92" s="8">
        <f t="shared" si="30"/>
        <v>45.730000000000004</v>
      </c>
      <c r="K92" s="7">
        <f t="shared" si="31"/>
      </c>
      <c r="L92" s="8">
        <f t="shared" si="32"/>
        <v>15602</v>
      </c>
      <c r="M92" s="8">
        <f t="shared" si="33"/>
        <v>753.1999999999999</v>
      </c>
      <c r="N92" s="109">
        <f t="shared" si="34"/>
        <v>45.730000000000004</v>
      </c>
      <c r="O92" s="109">
        <f t="shared" si="35"/>
      </c>
      <c r="P92" s="109">
        <f t="shared" si="36"/>
        <v>45.730000000000004</v>
      </c>
      <c r="Q92" s="24">
        <f t="shared" si="37"/>
        <v>434.00000000417197</v>
      </c>
      <c r="R92" s="22">
        <v>0.6601828990724637</v>
      </c>
      <c r="S92" s="52">
        <v>0.9</v>
      </c>
      <c r="T92" s="69">
        <f t="shared" si="38"/>
      </c>
      <c r="U92" s="68" t="str">
        <f t="shared" si="39"/>
        <v>***</v>
      </c>
      <c r="V92" s="62" t="str">
        <f t="shared" si="23"/>
        <v>***</v>
      </c>
      <c r="W92" s="47">
        <f t="shared" si="40"/>
        <v>25.8</v>
      </c>
      <c r="X92" s="47">
        <f t="shared" si="41"/>
        <v>45.730000000000004</v>
      </c>
      <c r="Y92" s="56">
        <f t="shared" si="24"/>
      </c>
      <c r="Z92" s="56">
        <f t="shared" si="25"/>
        <v>45.730000000000004</v>
      </c>
      <c r="AA92" s="56">
        <f t="shared" si="26"/>
      </c>
      <c r="AB92" s="56">
        <f t="shared" si="27"/>
      </c>
      <c r="AC92" s="56">
        <f t="shared" si="28"/>
      </c>
    </row>
    <row r="93" spans="1:29" ht="15">
      <c r="A93" s="82">
        <v>36193</v>
      </c>
      <c r="B93" s="83">
        <v>0.7708333333333334</v>
      </c>
      <c r="C93" s="37">
        <v>359</v>
      </c>
      <c r="D93" s="21">
        <v>0.31</v>
      </c>
      <c r="E93" s="12">
        <f t="shared" si="29"/>
        <v>31</v>
      </c>
      <c r="F93" s="10">
        <v>18</v>
      </c>
      <c r="G93" s="10" t="s">
        <v>50</v>
      </c>
      <c r="H93" s="80">
        <v>6.2</v>
      </c>
      <c r="I93" s="54">
        <v>0.13</v>
      </c>
      <c r="J93" s="8">
        <f t="shared" si="30"/>
        <v>17.38278</v>
      </c>
      <c r="K93" s="7">
        <f t="shared" si="31"/>
      </c>
      <c r="L93" s="8">
        <f t="shared" si="32"/>
        <v>11974.804</v>
      </c>
      <c r="M93" s="8">
        <f t="shared" si="33"/>
        <v>251.0846</v>
      </c>
      <c r="N93" s="109">
        <f t="shared" si="34"/>
        <v>17.38278</v>
      </c>
      <c r="O93" s="109">
        <f t="shared" si="35"/>
      </c>
      <c r="P93" s="109">
        <f t="shared" si="36"/>
      </c>
      <c r="Q93" s="24">
        <f t="shared" si="37"/>
        <v>3.0000000000288383</v>
      </c>
      <c r="R93" s="22">
        <v>0.004563476260869565</v>
      </c>
      <c r="S93" s="52">
        <v>0.008356545961002786</v>
      </c>
      <c r="T93" s="69">
        <f t="shared" si="38"/>
      </c>
      <c r="U93" s="68">
        <f t="shared" si="39"/>
      </c>
      <c r="V93" s="62" t="str">
        <f t="shared" si="23"/>
        <v>***</v>
      </c>
      <c r="W93" s="47">
        <f t="shared" si="40"/>
        <v>31</v>
      </c>
      <c r="X93" s="47">
        <f t="shared" si="41"/>
        <v>17.38278</v>
      </c>
      <c r="Y93" s="56">
        <f t="shared" si="24"/>
      </c>
      <c r="Z93" s="56">
        <f t="shared" si="25"/>
        <v>17.38278</v>
      </c>
      <c r="AA93" s="56">
        <f t="shared" si="26"/>
      </c>
      <c r="AB93" s="56">
        <f t="shared" si="27"/>
      </c>
      <c r="AC93" s="56">
        <f t="shared" si="28"/>
      </c>
    </row>
    <row r="94" spans="1:29" ht="15">
      <c r="A94" s="82">
        <v>36237</v>
      </c>
      <c r="B94" s="83">
        <v>0.6736111111111112</v>
      </c>
      <c r="C94" s="37">
        <v>2660</v>
      </c>
      <c r="D94" s="21">
        <v>0.04300000000000004</v>
      </c>
      <c r="E94" s="12">
        <f t="shared" si="29"/>
        <v>4.300000000000004</v>
      </c>
      <c r="F94" s="10">
        <v>206</v>
      </c>
      <c r="G94" s="10" t="s">
        <v>50</v>
      </c>
      <c r="H94" s="80">
        <v>7.2</v>
      </c>
      <c r="I94" s="54">
        <v>0.44</v>
      </c>
      <c r="J94" s="8">
        <f t="shared" si="30"/>
        <v>1474.0124</v>
      </c>
      <c r="K94" s="7">
        <f t="shared" si="31"/>
      </c>
      <c r="L94" s="8">
        <f t="shared" si="32"/>
        <v>103037.76</v>
      </c>
      <c r="M94" s="8">
        <f t="shared" si="33"/>
        <v>6296.752</v>
      </c>
      <c r="N94" s="109">
        <f t="shared" si="34"/>
        <v>1474.0124</v>
      </c>
      <c r="O94" s="109">
        <f t="shared" si="35"/>
      </c>
      <c r="P94" s="109">
        <f t="shared" si="36"/>
        <v>1474.0124</v>
      </c>
      <c r="Q94" s="24">
        <f t="shared" si="37"/>
        <v>980.0000000094205</v>
      </c>
      <c r="R94" s="22">
        <v>1.4907355785507246</v>
      </c>
      <c r="S94" s="52">
        <v>0.8921052631578947</v>
      </c>
      <c r="T94" s="69">
        <f t="shared" si="38"/>
      </c>
      <c r="U94" s="68" t="str">
        <f t="shared" si="39"/>
        <v>***</v>
      </c>
      <c r="V94" s="62" t="str">
        <f t="shared" si="23"/>
        <v>***</v>
      </c>
      <c r="W94" s="47">
        <f t="shared" si="40"/>
        <v>4.300000000000004</v>
      </c>
      <c r="X94" s="47">
        <f t="shared" si="41"/>
        <v>1474.0124</v>
      </c>
      <c r="Y94" s="56">
        <f t="shared" si="24"/>
        <v>1474.0124</v>
      </c>
      <c r="Z94" s="56">
        <f t="shared" si="25"/>
      </c>
      <c r="AA94" s="56">
        <f t="shared" si="26"/>
      </c>
      <c r="AB94" s="56">
        <f t="shared" si="27"/>
      </c>
      <c r="AC94" s="56">
        <f t="shared" si="28"/>
      </c>
    </row>
    <row r="95" spans="1:29" ht="15">
      <c r="A95" s="82">
        <v>36256</v>
      </c>
      <c r="B95" s="83">
        <v>0.7048611111111112</v>
      </c>
      <c r="C95" s="37">
        <v>116</v>
      </c>
      <c r="D95" s="21">
        <v>0.527</v>
      </c>
      <c r="E95" s="12">
        <f t="shared" si="29"/>
        <v>52.7</v>
      </c>
      <c r="F95" s="10">
        <v>54</v>
      </c>
      <c r="G95" s="10" t="s">
        <v>50</v>
      </c>
      <c r="H95" s="80">
        <v>1.7</v>
      </c>
      <c r="I95" s="54">
        <v>0.15</v>
      </c>
      <c r="J95" s="8">
        <f t="shared" si="30"/>
        <v>16.850160000000002</v>
      </c>
      <c r="K95" s="7">
        <f t="shared" si="31"/>
      </c>
      <c r="L95" s="8">
        <f t="shared" si="32"/>
        <v>1060.936</v>
      </c>
      <c r="M95" s="8">
        <f t="shared" si="33"/>
        <v>93.612</v>
      </c>
      <c r="N95" s="109">
        <f t="shared" si="34"/>
        <v>16.850160000000002</v>
      </c>
      <c r="O95" s="109">
        <f t="shared" si="35"/>
      </c>
      <c r="P95" s="109">
        <f t="shared" si="36"/>
      </c>
      <c r="Q95" s="24">
        <f t="shared" si="37"/>
      </c>
      <c r="R95" s="22">
        <v>-0.022817381304347826</v>
      </c>
      <c r="S95" s="52">
        <v>0.14655172413793102</v>
      </c>
      <c r="T95" s="69">
        <f t="shared" si="38"/>
      </c>
      <c r="U95" s="68">
        <f t="shared" si="39"/>
      </c>
      <c r="V95" s="62" t="str">
        <f t="shared" si="23"/>
        <v>***</v>
      </c>
      <c r="W95" s="47">
        <f t="shared" si="40"/>
        <v>52.7</v>
      </c>
      <c r="X95" s="47">
        <f t="shared" si="41"/>
        <v>16.850160000000002</v>
      </c>
      <c r="Y95" s="56">
        <f t="shared" si="24"/>
      </c>
      <c r="Z95" s="56">
        <f t="shared" si="25"/>
      </c>
      <c r="AA95" s="56">
        <f t="shared" si="26"/>
        <v>16.850160000000002</v>
      </c>
      <c r="AB95" s="56">
        <f t="shared" si="27"/>
      </c>
      <c r="AC95" s="56">
        <f t="shared" si="28"/>
      </c>
    </row>
    <row r="96" spans="1:29" ht="15">
      <c r="A96" s="82">
        <v>36256</v>
      </c>
      <c r="B96" s="83">
        <v>0.7048611111111112</v>
      </c>
      <c r="C96" s="37">
        <v>116</v>
      </c>
      <c r="D96" s="21">
        <v>0.527</v>
      </c>
      <c r="E96" s="12">
        <f t="shared" si="29"/>
        <v>52.7</v>
      </c>
      <c r="F96" s="10">
        <v>50</v>
      </c>
      <c r="G96" s="10" t="s">
        <v>50</v>
      </c>
      <c r="H96" s="80">
        <v>1.7</v>
      </c>
      <c r="I96" s="54">
        <v>0.14</v>
      </c>
      <c r="J96" s="8">
        <f t="shared" si="30"/>
        <v>15.602</v>
      </c>
      <c r="K96" s="7">
        <f t="shared" si="31"/>
      </c>
      <c r="L96" s="8">
        <f t="shared" si="32"/>
        <v>1060.936</v>
      </c>
      <c r="M96" s="8">
        <f t="shared" si="33"/>
        <v>87.37120000000002</v>
      </c>
      <c r="N96" s="109">
        <f t="shared" si="34"/>
        <v>15.602</v>
      </c>
      <c r="O96" s="109">
        <f t="shared" si="35"/>
      </c>
      <c r="P96" s="109">
        <f t="shared" si="36"/>
      </c>
      <c r="Q96" s="24">
        <f t="shared" si="37"/>
      </c>
      <c r="R96" s="22">
        <v>-0.022817381304347826</v>
      </c>
      <c r="S96" s="52">
        <v>0.14655172413793102</v>
      </c>
      <c r="T96" s="69">
        <f t="shared" si="38"/>
      </c>
      <c r="U96" s="68">
        <f t="shared" si="39"/>
      </c>
      <c r="V96" s="62" t="str">
        <f t="shared" si="23"/>
        <v>***</v>
      </c>
      <c r="W96" s="47">
        <f t="shared" si="40"/>
        <v>52.7</v>
      </c>
      <c r="X96" s="47">
        <f t="shared" si="41"/>
        <v>15.602</v>
      </c>
      <c r="Y96" s="56">
        <f t="shared" si="24"/>
      </c>
      <c r="Z96" s="56">
        <f t="shared" si="25"/>
      </c>
      <c r="AA96" s="56">
        <f t="shared" si="26"/>
        <v>15.602</v>
      </c>
      <c r="AB96" s="56">
        <f t="shared" si="27"/>
      </c>
      <c r="AC96" s="56">
        <f t="shared" si="28"/>
      </c>
    </row>
    <row r="97" spans="1:29" ht="15">
      <c r="A97" s="82">
        <v>36286</v>
      </c>
      <c r="B97" s="83">
        <v>0.4479166666666667</v>
      </c>
      <c r="C97" s="37">
        <v>214</v>
      </c>
      <c r="D97" s="21">
        <v>0.401</v>
      </c>
      <c r="E97" s="12">
        <f t="shared" si="29"/>
        <v>40.1</v>
      </c>
      <c r="F97" s="10">
        <v>71</v>
      </c>
      <c r="G97" s="10" t="s">
        <v>50</v>
      </c>
      <c r="H97" s="80">
        <v>5</v>
      </c>
      <c r="I97" s="54">
        <v>0.19</v>
      </c>
      <c r="J97" s="8">
        <f t="shared" si="30"/>
        <v>40.871860000000005</v>
      </c>
      <c r="K97" s="7">
        <f t="shared" si="31"/>
      </c>
      <c r="L97" s="8">
        <f t="shared" si="32"/>
        <v>5756.599999999999</v>
      </c>
      <c r="M97" s="8">
        <f t="shared" si="33"/>
        <v>218.75080000000003</v>
      </c>
      <c r="N97" s="109">
        <f t="shared" si="34"/>
        <v>40.871860000000005</v>
      </c>
      <c r="O97" s="109">
        <f t="shared" si="35"/>
      </c>
      <c r="P97" s="109">
        <f t="shared" si="36"/>
      </c>
      <c r="Q97" s="24">
        <f t="shared" si="37"/>
      </c>
      <c r="R97" s="22">
        <v>-0.04715592136231884</v>
      </c>
      <c r="S97" s="52">
        <v>0.34579439252336447</v>
      </c>
      <c r="T97" s="69">
        <f t="shared" si="38"/>
      </c>
      <c r="U97" s="68">
        <f t="shared" si="39"/>
      </c>
      <c r="V97" s="62" t="str">
        <f t="shared" si="23"/>
        <v>***</v>
      </c>
      <c r="W97" s="47">
        <f t="shared" si="40"/>
        <v>40.1</v>
      </c>
      <c r="X97" s="47">
        <f t="shared" si="41"/>
        <v>40.871860000000005</v>
      </c>
      <c r="Y97" s="56">
        <f t="shared" si="24"/>
      </c>
      <c r="Z97" s="56">
        <f t="shared" si="25"/>
      </c>
      <c r="AA97" s="56">
        <f t="shared" si="26"/>
        <v>40.871860000000005</v>
      </c>
      <c r="AB97" s="56">
        <f t="shared" si="27"/>
      </c>
      <c r="AC97" s="56">
        <f t="shared" si="28"/>
      </c>
    </row>
    <row r="98" spans="1:29" ht="15">
      <c r="A98" s="82">
        <v>36286</v>
      </c>
      <c r="B98" s="83">
        <v>0.4479166666666667</v>
      </c>
      <c r="C98" s="37">
        <v>214</v>
      </c>
      <c r="D98" s="21">
        <v>0.401</v>
      </c>
      <c r="E98" s="12">
        <f t="shared" si="29"/>
        <v>40.1</v>
      </c>
      <c r="F98" s="10">
        <v>73</v>
      </c>
      <c r="G98" s="10" t="s">
        <v>50</v>
      </c>
      <c r="H98" s="80">
        <v>4.9</v>
      </c>
      <c r="I98" s="54">
        <v>0.18</v>
      </c>
      <c r="J98" s="8">
        <f t="shared" si="30"/>
        <v>42.02318</v>
      </c>
      <c r="K98" s="7">
        <f t="shared" si="31"/>
      </c>
      <c r="L98" s="8">
        <f t="shared" si="32"/>
        <v>5641.468000000001</v>
      </c>
      <c r="M98" s="8">
        <f t="shared" si="33"/>
        <v>207.2376</v>
      </c>
      <c r="N98" s="109">
        <f t="shared" si="34"/>
        <v>42.02318</v>
      </c>
      <c r="O98" s="109">
        <f t="shared" si="35"/>
      </c>
      <c r="P98" s="109">
        <f t="shared" si="36"/>
      </c>
      <c r="Q98" s="24">
        <f t="shared" si="37"/>
      </c>
      <c r="R98" s="22">
        <v>-0.04715592136231884</v>
      </c>
      <c r="S98" s="52">
        <v>0.34579439252336447</v>
      </c>
      <c r="T98" s="69">
        <f t="shared" si="38"/>
      </c>
      <c r="U98" s="68">
        <f t="shared" si="39"/>
      </c>
      <c r="V98" s="62" t="str">
        <f t="shared" si="23"/>
        <v>***</v>
      </c>
      <c r="W98" s="47">
        <f t="shared" si="40"/>
        <v>40.1</v>
      </c>
      <c r="X98" s="47">
        <f t="shared" si="41"/>
        <v>42.02318</v>
      </c>
      <c r="Y98" s="56">
        <f t="shared" si="24"/>
      </c>
      <c r="Z98" s="56">
        <f t="shared" si="25"/>
      </c>
      <c r="AA98" s="56">
        <f t="shared" si="26"/>
        <v>42.02318</v>
      </c>
      <c r="AB98" s="56">
        <f t="shared" si="27"/>
      </c>
      <c r="AC98" s="56">
        <f t="shared" si="28"/>
      </c>
    </row>
    <row r="99" spans="1:29" ht="15">
      <c r="A99" s="82">
        <v>36314</v>
      </c>
      <c r="B99" s="83">
        <v>0.5625</v>
      </c>
      <c r="C99" s="37">
        <v>362</v>
      </c>
      <c r="D99" s="21">
        <v>0.30900000000000005</v>
      </c>
      <c r="E99" s="12">
        <f t="shared" si="29"/>
        <v>30.900000000000006</v>
      </c>
      <c r="F99" s="10">
        <v>110</v>
      </c>
      <c r="G99" s="10" t="s">
        <v>50</v>
      </c>
      <c r="H99" s="80">
        <v>17</v>
      </c>
      <c r="I99" s="54">
        <v>0.22</v>
      </c>
      <c r="J99" s="8">
        <f t="shared" si="30"/>
        <v>107.11580000000001</v>
      </c>
      <c r="K99" s="7">
        <f t="shared" si="31"/>
      </c>
      <c r="L99" s="8">
        <f t="shared" si="32"/>
        <v>33108.52</v>
      </c>
      <c r="M99" s="8">
        <f t="shared" si="33"/>
        <v>428.4632</v>
      </c>
      <c r="N99" s="109">
        <f t="shared" si="34"/>
        <v>107.11580000000001</v>
      </c>
      <c r="O99" s="109">
        <f t="shared" si="35"/>
        <v>107.11580000000001</v>
      </c>
      <c r="P99" s="109">
        <f t="shared" si="36"/>
      </c>
      <c r="Q99" s="24">
        <f t="shared" si="37"/>
      </c>
      <c r="R99" s="22">
        <v>-0.1308196528115942</v>
      </c>
      <c r="S99" s="52">
        <v>0.49171270718232046</v>
      </c>
      <c r="T99" s="69" t="str">
        <f t="shared" si="38"/>
        <v>***</v>
      </c>
      <c r="U99" s="68">
        <f t="shared" si="39"/>
      </c>
      <c r="V99" s="62" t="str">
        <f t="shared" si="23"/>
        <v>***</v>
      </c>
      <c r="W99" s="47">
        <f t="shared" si="40"/>
        <v>30.900000000000006</v>
      </c>
      <c r="X99" s="47">
        <f t="shared" si="41"/>
        <v>107.11580000000001</v>
      </c>
      <c r="Y99" s="56">
        <f t="shared" si="24"/>
      </c>
      <c r="Z99" s="56">
        <f t="shared" si="25"/>
        <v>107.11580000000001</v>
      </c>
      <c r="AA99" s="56">
        <f t="shared" si="26"/>
      </c>
      <c r="AB99" s="56">
        <f t="shared" si="27"/>
      </c>
      <c r="AC99" s="56">
        <f t="shared" si="28"/>
      </c>
    </row>
    <row r="100" spans="1:29" ht="15">
      <c r="A100" s="82">
        <v>36348</v>
      </c>
      <c r="B100" s="83">
        <v>0.5833333333333334</v>
      </c>
      <c r="C100" s="37">
        <v>47</v>
      </c>
      <c r="D100" s="21">
        <v>0.725</v>
      </c>
      <c r="E100" s="12">
        <f t="shared" si="29"/>
        <v>72.5</v>
      </c>
      <c r="F100" s="10">
        <v>79</v>
      </c>
      <c r="G100" s="10" t="s">
        <v>50</v>
      </c>
      <c r="H100" s="80">
        <v>0.2</v>
      </c>
      <c r="I100" s="54">
        <v>0.33</v>
      </c>
      <c r="J100" s="8">
        <f t="shared" si="30"/>
        <v>9.98797</v>
      </c>
      <c r="K100" s="7">
        <f t="shared" si="31"/>
      </c>
      <c r="L100" s="8">
        <f t="shared" si="32"/>
        <v>50.572</v>
      </c>
      <c r="M100" s="8">
        <f t="shared" si="33"/>
        <v>83.44380000000001</v>
      </c>
      <c r="N100" s="109">
        <f t="shared" si="34"/>
        <v>9.98797</v>
      </c>
      <c r="O100" s="109">
        <f t="shared" si="35"/>
        <v>9.98797</v>
      </c>
      <c r="P100" s="109">
        <f t="shared" si="36"/>
      </c>
      <c r="Q100" s="24">
        <f t="shared" si="37"/>
      </c>
      <c r="R100" s="22">
        <v>-0.00912695252173913</v>
      </c>
      <c r="S100" s="52">
        <v>0.0851063829787234</v>
      </c>
      <c r="T100" s="69" t="str">
        <f t="shared" si="38"/>
        <v>***</v>
      </c>
      <c r="U100" s="68">
        <f t="shared" si="39"/>
      </c>
      <c r="V100" s="62" t="str">
        <f t="shared" si="23"/>
        <v>***</v>
      </c>
      <c r="W100" s="47">
        <f t="shared" si="40"/>
        <v>72.5</v>
      </c>
      <c r="X100" s="47">
        <f t="shared" si="41"/>
        <v>9.98797</v>
      </c>
      <c r="Y100" s="56">
        <f t="shared" si="24"/>
      </c>
      <c r="Z100" s="56">
        <f t="shared" si="25"/>
      </c>
      <c r="AA100" s="56">
        <f t="shared" si="26"/>
      </c>
      <c r="AB100" s="56">
        <f t="shared" si="27"/>
        <v>9.98797</v>
      </c>
      <c r="AC100" s="56">
        <f t="shared" si="28"/>
      </c>
    </row>
    <row r="101" spans="1:29" ht="15">
      <c r="A101" s="82">
        <v>36376</v>
      </c>
      <c r="B101" s="83">
        <v>0.3958333333333333</v>
      </c>
      <c r="C101" s="37">
        <v>42</v>
      </c>
      <c r="D101" s="21">
        <v>0.751</v>
      </c>
      <c r="E101" s="12">
        <f t="shared" si="29"/>
        <v>75.1</v>
      </c>
      <c r="F101" s="10">
        <v>120</v>
      </c>
      <c r="G101" s="10">
        <v>880</v>
      </c>
      <c r="H101" s="80">
        <v>0.6</v>
      </c>
      <c r="I101" s="54">
        <v>0.33</v>
      </c>
      <c r="J101" s="8">
        <f t="shared" si="30"/>
        <v>13.5576</v>
      </c>
      <c r="K101" s="7">
        <f t="shared" si="31"/>
        <v>904259220480</v>
      </c>
      <c r="L101" s="8">
        <f t="shared" si="32"/>
        <v>135.576</v>
      </c>
      <c r="M101" s="8">
        <f t="shared" si="33"/>
        <v>74.5668</v>
      </c>
      <c r="N101" s="109">
        <f t="shared" si="34"/>
        <v>13.5576</v>
      </c>
      <c r="O101" s="109">
        <f t="shared" si="35"/>
        <v>13.5576</v>
      </c>
      <c r="P101" s="109">
        <f t="shared" si="36"/>
      </c>
      <c r="Q101" s="24">
        <f t="shared" si="37"/>
      </c>
      <c r="R101" s="22">
        <v>-0.00912695252173913</v>
      </c>
      <c r="S101" s="52">
        <v>0.11904761904761904</v>
      </c>
      <c r="T101" s="69" t="str">
        <f t="shared" si="38"/>
        <v>***</v>
      </c>
      <c r="U101" s="68">
        <f t="shared" si="39"/>
      </c>
      <c r="V101" s="62" t="str">
        <f t="shared" si="23"/>
        <v>***</v>
      </c>
      <c r="W101" s="47">
        <f t="shared" si="40"/>
        <v>75.1</v>
      </c>
      <c r="X101" s="47">
        <f t="shared" si="41"/>
        <v>13.5576</v>
      </c>
      <c r="Y101" s="56">
        <f t="shared" si="24"/>
      </c>
      <c r="Z101" s="56">
        <f t="shared" si="25"/>
      </c>
      <c r="AA101" s="56">
        <f t="shared" si="26"/>
      </c>
      <c r="AB101" s="56">
        <f t="shared" si="27"/>
        <v>13.5576</v>
      </c>
      <c r="AC101" s="56">
        <f t="shared" si="28"/>
      </c>
    </row>
    <row r="102" spans="1:29" ht="15">
      <c r="A102" s="82">
        <v>36404</v>
      </c>
      <c r="B102" s="83">
        <v>0.6458333333333334</v>
      </c>
      <c r="C102" s="37">
        <v>29</v>
      </c>
      <c r="D102" s="21">
        <v>0.845</v>
      </c>
      <c r="E102" s="12">
        <f t="shared" si="29"/>
        <v>84.5</v>
      </c>
      <c r="F102" s="10">
        <v>116</v>
      </c>
      <c r="G102" s="10" t="s">
        <v>50</v>
      </c>
      <c r="H102" s="80">
        <v>0.2</v>
      </c>
      <c r="I102" s="54">
        <v>0.27</v>
      </c>
      <c r="J102" s="8">
        <f t="shared" si="30"/>
        <v>9.04916</v>
      </c>
      <c r="K102" s="7">
        <f t="shared" si="31"/>
      </c>
      <c r="L102" s="8">
        <f t="shared" si="32"/>
        <v>31.204000000000004</v>
      </c>
      <c r="M102" s="8">
        <f t="shared" si="33"/>
        <v>42.1254</v>
      </c>
      <c r="N102" s="109">
        <f t="shared" si="34"/>
        <v>9.04916</v>
      </c>
      <c r="O102" s="109">
        <f t="shared" si="35"/>
        <v>9.04916</v>
      </c>
      <c r="P102" s="109">
        <f t="shared" si="36"/>
      </c>
      <c r="Q102" s="24">
        <f t="shared" si="37"/>
      </c>
      <c r="R102" s="22">
        <v>0</v>
      </c>
      <c r="S102" s="52">
        <v>0.034482758620689655</v>
      </c>
      <c r="T102" s="69" t="str">
        <f t="shared" si="38"/>
        <v>***</v>
      </c>
      <c r="U102" s="68">
        <f t="shared" si="39"/>
      </c>
      <c r="V102" s="62" t="str">
        <f t="shared" si="23"/>
        <v>***</v>
      </c>
      <c r="W102" s="47">
        <f t="shared" si="40"/>
        <v>84.5</v>
      </c>
      <c r="X102" s="47">
        <f t="shared" si="41"/>
        <v>9.04916</v>
      </c>
      <c r="Y102" s="56">
        <f t="shared" si="24"/>
      </c>
      <c r="Z102" s="56">
        <f t="shared" si="25"/>
      </c>
      <c r="AA102" s="56">
        <f t="shared" si="26"/>
      </c>
      <c r="AB102" s="56">
        <f t="shared" si="27"/>
        <v>9.04916</v>
      </c>
      <c r="AC102" s="56">
        <f t="shared" si="28"/>
      </c>
    </row>
    <row r="103" spans="1:29" ht="15">
      <c r="A103" s="82">
        <v>36438</v>
      </c>
      <c r="B103" s="83">
        <v>0.5416666666666666</v>
      </c>
      <c r="C103" s="37">
        <v>40</v>
      </c>
      <c r="D103" s="21">
        <v>0.763</v>
      </c>
      <c r="E103" s="12">
        <f t="shared" si="29"/>
        <v>76.3</v>
      </c>
      <c r="F103" s="10">
        <v>48</v>
      </c>
      <c r="G103" s="10" t="s">
        <v>50</v>
      </c>
      <c r="H103" s="80">
        <v>0.4</v>
      </c>
      <c r="I103" s="54">
        <v>0.25</v>
      </c>
      <c r="J103" s="8">
        <f t="shared" si="30"/>
        <v>5.1648000000000005</v>
      </c>
      <c r="K103" s="7">
        <f t="shared" si="31"/>
      </c>
      <c r="L103" s="8">
        <f t="shared" si="32"/>
        <v>86.08</v>
      </c>
      <c r="M103" s="8">
        <f t="shared" si="33"/>
        <v>53.8</v>
      </c>
      <c r="N103" s="109">
        <f t="shared" si="34"/>
        <v>5.1648000000000005</v>
      </c>
      <c r="O103" s="109">
        <f t="shared" si="35"/>
        <v>5.1648000000000005</v>
      </c>
      <c r="P103" s="109">
        <f t="shared" si="36"/>
      </c>
      <c r="Q103" s="24">
        <f t="shared" si="37"/>
      </c>
      <c r="R103" s="22">
        <v>-0.027380857565217392</v>
      </c>
      <c r="S103" s="52">
        <v>0.25</v>
      </c>
      <c r="T103" s="69" t="str">
        <f t="shared" si="38"/>
        <v>***</v>
      </c>
      <c r="U103" s="68">
        <f t="shared" si="39"/>
      </c>
      <c r="V103" s="62" t="str">
        <f t="shared" si="23"/>
        <v>***</v>
      </c>
      <c r="W103" s="47">
        <f t="shared" si="40"/>
        <v>76.3</v>
      </c>
      <c r="X103" s="47">
        <f t="shared" si="41"/>
        <v>5.1648000000000005</v>
      </c>
      <c r="Y103" s="56">
        <f t="shared" si="24"/>
      </c>
      <c r="Z103" s="56">
        <f t="shared" si="25"/>
      </c>
      <c r="AA103" s="56">
        <f t="shared" si="26"/>
      </c>
      <c r="AB103" s="56">
        <f t="shared" si="27"/>
        <v>5.1648000000000005</v>
      </c>
      <c r="AC103" s="56">
        <f t="shared" si="28"/>
      </c>
    </row>
    <row r="104" spans="1:29" ht="15">
      <c r="A104" s="82">
        <v>36472</v>
      </c>
      <c r="B104" s="83">
        <v>0.65625</v>
      </c>
      <c r="C104" s="37">
        <v>33</v>
      </c>
      <c r="D104" s="21">
        <v>0.8140000000000001</v>
      </c>
      <c r="E104" s="12">
        <f t="shared" si="29"/>
        <v>81.4</v>
      </c>
      <c r="F104" s="10">
        <v>42</v>
      </c>
      <c r="G104" s="10" t="s">
        <v>50</v>
      </c>
      <c r="H104" s="80">
        <v>0.2</v>
      </c>
      <c r="I104" s="54">
        <v>0.22</v>
      </c>
      <c r="J104" s="8">
        <f t="shared" si="30"/>
        <v>3.72834</v>
      </c>
      <c r="K104" s="7">
        <f t="shared" si="31"/>
      </c>
      <c r="L104" s="8">
        <f t="shared" si="32"/>
        <v>35.508</v>
      </c>
      <c r="M104" s="8">
        <f t="shared" si="33"/>
        <v>39.0588</v>
      </c>
      <c r="N104" s="109">
        <f t="shared" si="34"/>
        <v>3.72834</v>
      </c>
      <c r="O104" s="109">
        <f t="shared" si="35"/>
      </c>
      <c r="P104" s="109">
        <f t="shared" si="36"/>
      </c>
      <c r="Q104" s="24">
        <f t="shared" si="37"/>
        <v>2.0000000000192255</v>
      </c>
      <c r="R104" s="22">
        <v>0.0030423175072463765</v>
      </c>
      <c r="S104" s="52">
        <v>0.18181818181818182</v>
      </c>
      <c r="T104" s="69">
        <f t="shared" si="38"/>
      </c>
      <c r="U104" s="68">
        <f t="shared" si="39"/>
      </c>
      <c r="V104" s="62" t="str">
        <f aca="true" t="shared" si="42" ref="V104:V135">IF(OR(A104="",YEAR(A104)&lt;YEAR(V$4),YEAR(A104)&gt;YEAR(V$6)),"","***")</f>
        <v>***</v>
      </c>
      <c r="W104" s="47">
        <f t="shared" si="40"/>
        <v>81.4</v>
      </c>
      <c r="X104" s="47">
        <f t="shared" si="41"/>
        <v>3.72834</v>
      </c>
      <c r="Y104" s="56">
        <f t="shared" si="24"/>
      </c>
      <c r="Z104" s="56">
        <f t="shared" si="25"/>
      </c>
      <c r="AA104" s="56">
        <f t="shared" si="26"/>
      </c>
      <c r="AB104" s="56">
        <f t="shared" si="27"/>
        <v>3.72834</v>
      </c>
      <c r="AC104" s="56">
        <f t="shared" si="28"/>
      </c>
    </row>
    <row r="105" spans="1:29" ht="15">
      <c r="A105" s="82">
        <v>36501</v>
      </c>
      <c r="B105" s="83">
        <v>0.6354166666666666</v>
      </c>
      <c r="C105" s="37">
        <v>28</v>
      </c>
      <c r="D105" s="21">
        <v>0.855</v>
      </c>
      <c r="E105" s="12">
        <f t="shared" si="29"/>
        <v>85.5</v>
      </c>
      <c r="F105" s="10">
        <v>15</v>
      </c>
      <c r="G105" s="10" t="s">
        <v>50</v>
      </c>
      <c r="H105" s="80">
        <v>0.8</v>
      </c>
      <c r="I105" s="54">
        <v>0.12</v>
      </c>
      <c r="J105" s="8">
        <f t="shared" si="30"/>
        <v>1.1298000000000001</v>
      </c>
      <c r="K105" s="7">
        <f t="shared" si="31"/>
      </c>
      <c r="L105" s="8">
        <f t="shared" si="32"/>
        <v>120.51200000000001</v>
      </c>
      <c r="M105" s="8">
        <f t="shared" si="33"/>
        <v>18.0768</v>
      </c>
      <c r="N105" s="109">
        <f t="shared" si="34"/>
        <v>1.1298000000000001</v>
      </c>
      <c r="O105" s="109">
        <f t="shared" si="35"/>
      </c>
      <c r="P105" s="109">
        <f t="shared" si="36"/>
      </c>
      <c r="Q105" s="24">
        <f t="shared" si="37"/>
      </c>
      <c r="R105" s="22">
        <v>-0.0030423175072463765</v>
      </c>
      <c r="S105" s="52">
        <v>0.14285714285714285</v>
      </c>
      <c r="T105" s="69">
        <f t="shared" si="38"/>
      </c>
      <c r="U105" s="68">
        <f t="shared" si="39"/>
      </c>
      <c r="V105" s="62" t="str">
        <f t="shared" si="42"/>
        <v>***</v>
      </c>
      <c r="W105" s="47">
        <f t="shared" si="40"/>
        <v>85.5</v>
      </c>
      <c r="X105" s="47">
        <f t="shared" si="41"/>
        <v>1.1298000000000001</v>
      </c>
      <c r="Y105" s="56">
        <f t="shared" si="24"/>
      </c>
      <c r="Z105" s="56">
        <f t="shared" si="25"/>
      </c>
      <c r="AA105" s="56">
        <f t="shared" si="26"/>
      </c>
      <c r="AB105" s="56">
        <f t="shared" si="27"/>
        <v>1.1298000000000001</v>
      </c>
      <c r="AC105" s="56">
        <f t="shared" si="28"/>
      </c>
    </row>
    <row r="106" spans="1:29" ht="15">
      <c r="A106" s="82">
        <v>36536</v>
      </c>
      <c r="B106" s="83">
        <v>0.46875</v>
      </c>
      <c r="C106" s="37">
        <v>48</v>
      </c>
      <c r="D106" s="21">
        <v>0.72</v>
      </c>
      <c r="E106" s="12">
        <f t="shared" si="29"/>
        <v>72</v>
      </c>
      <c r="F106" s="10">
        <v>16</v>
      </c>
      <c r="G106" s="10" t="s">
        <v>50</v>
      </c>
      <c r="H106" s="80">
        <v>10</v>
      </c>
      <c r="I106" s="54">
        <v>0.21</v>
      </c>
      <c r="J106" s="8">
        <f t="shared" si="30"/>
        <v>2.06592</v>
      </c>
      <c r="K106" s="7">
        <f t="shared" si="31"/>
      </c>
      <c r="L106" s="8">
        <f t="shared" si="32"/>
        <v>2582.4</v>
      </c>
      <c r="M106" s="8">
        <f t="shared" si="33"/>
        <v>54.230399999999996</v>
      </c>
      <c r="N106" s="109">
        <f t="shared" si="34"/>
        <v>2.06592</v>
      </c>
      <c r="O106" s="109">
        <f t="shared" si="35"/>
      </c>
      <c r="P106" s="109">
        <f t="shared" si="36"/>
      </c>
      <c r="Q106" s="24">
        <f t="shared" si="37"/>
      </c>
      <c r="R106" s="22">
        <v>-0.012169270028985506</v>
      </c>
      <c r="S106" s="52">
        <v>0.3541666666666667</v>
      </c>
      <c r="T106" s="69">
        <f t="shared" si="38"/>
      </c>
      <c r="U106" s="68">
        <f t="shared" si="39"/>
      </c>
      <c r="V106" s="62" t="str">
        <f t="shared" si="42"/>
        <v>***</v>
      </c>
      <c r="W106" s="47">
        <f t="shared" si="40"/>
        <v>72</v>
      </c>
      <c r="X106" s="47">
        <f t="shared" si="41"/>
        <v>2.06592</v>
      </c>
      <c r="Y106" s="56">
        <f t="shared" si="24"/>
      </c>
      <c r="Z106" s="56">
        <f t="shared" si="25"/>
      </c>
      <c r="AA106" s="56">
        <f t="shared" si="26"/>
      </c>
      <c r="AB106" s="56">
        <f t="shared" si="27"/>
        <v>2.06592</v>
      </c>
      <c r="AC106" s="56">
        <f t="shared" si="28"/>
      </c>
    </row>
    <row r="107" spans="1:29" ht="15">
      <c r="A107" s="82">
        <v>36593</v>
      </c>
      <c r="B107" s="83">
        <v>0.3923611111111111</v>
      </c>
      <c r="C107" s="37">
        <v>94</v>
      </c>
      <c r="D107" s="21">
        <v>0.5740000000000001</v>
      </c>
      <c r="E107" s="12">
        <f t="shared" si="29"/>
        <v>57.400000000000006</v>
      </c>
      <c r="F107" s="10">
        <v>70</v>
      </c>
      <c r="G107" s="10">
        <v>60</v>
      </c>
      <c r="H107" s="80">
        <v>0.1</v>
      </c>
      <c r="I107" s="54">
        <v>0.18</v>
      </c>
      <c r="J107" s="8">
        <f t="shared" si="30"/>
        <v>17.700200000000002</v>
      </c>
      <c r="K107" s="7">
        <f t="shared" si="31"/>
        <v>137987608320</v>
      </c>
      <c r="L107" s="8">
        <f t="shared" si="32"/>
        <v>50.572</v>
      </c>
      <c r="M107" s="8">
        <f t="shared" si="33"/>
        <v>91.02959999999999</v>
      </c>
      <c r="N107" s="109">
        <f t="shared" si="34"/>
        <v>17.700200000000002</v>
      </c>
      <c r="O107" s="109">
        <f t="shared" si="35"/>
      </c>
      <c r="P107" s="109">
        <f t="shared" si="36"/>
      </c>
      <c r="Q107" s="24">
        <f t="shared" si="37"/>
      </c>
      <c r="R107" s="22">
        <v>-0.016732746289855074</v>
      </c>
      <c r="S107" s="52">
        <v>0.20212765957446807</v>
      </c>
      <c r="T107" s="69">
        <f t="shared" si="38"/>
      </c>
      <c r="U107" s="68">
        <f t="shared" si="39"/>
      </c>
      <c r="V107" s="62" t="str">
        <f t="shared" si="42"/>
        <v>***</v>
      </c>
      <c r="W107" s="47">
        <f t="shared" si="40"/>
        <v>57.400000000000006</v>
      </c>
      <c r="X107" s="47">
        <f t="shared" si="41"/>
        <v>17.700200000000002</v>
      </c>
      <c r="Y107" s="56">
        <f t="shared" si="24"/>
      </c>
      <c r="Z107" s="56">
        <f t="shared" si="25"/>
      </c>
      <c r="AA107" s="56">
        <f t="shared" si="26"/>
        <v>17.700200000000002</v>
      </c>
      <c r="AB107" s="56">
        <f t="shared" si="27"/>
      </c>
      <c r="AC107" s="56">
        <f t="shared" si="28"/>
      </c>
    </row>
    <row r="108" spans="1:29" ht="15">
      <c r="A108" s="82">
        <v>36620</v>
      </c>
      <c r="B108" s="83">
        <v>0.6736111111111112</v>
      </c>
      <c r="C108" s="37">
        <v>134</v>
      </c>
      <c r="D108" s="21">
        <v>0.497</v>
      </c>
      <c r="E108" s="12">
        <f t="shared" si="29"/>
        <v>49.7</v>
      </c>
      <c r="F108" s="10">
        <v>52</v>
      </c>
      <c r="G108" s="10" t="s">
        <v>50</v>
      </c>
      <c r="H108" s="80">
        <v>8.6</v>
      </c>
      <c r="I108" s="54">
        <v>0.17</v>
      </c>
      <c r="J108" s="8">
        <f t="shared" si="30"/>
        <v>18.74392</v>
      </c>
      <c r="K108" s="7">
        <f t="shared" si="31"/>
      </c>
      <c r="L108" s="8">
        <f t="shared" si="32"/>
        <v>6199.911999999999</v>
      </c>
      <c r="M108" s="8">
        <f t="shared" si="33"/>
        <v>122.55640000000001</v>
      </c>
      <c r="N108" s="109">
        <f t="shared" si="34"/>
        <v>18.74392</v>
      </c>
      <c r="O108" s="109">
        <f t="shared" si="35"/>
      </c>
      <c r="P108" s="109">
        <f t="shared" si="36"/>
      </c>
      <c r="Q108" s="24">
        <f t="shared" si="37"/>
        <v>26.000000000249933</v>
      </c>
      <c r="R108" s="22">
        <v>0.0395501275942029</v>
      </c>
      <c r="S108" s="52">
        <v>0.2537313432835821</v>
      </c>
      <c r="T108" s="69">
        <f t="shared" si="38"/>
      </c>
      <c r="U108" s="68">
        <f t="shared" si="39"/>
      </c>
      <c r="V108" s="62" t="str">
        <f t="shared" si="42"/>
        <v>***</v>
      </c>
      <c r="W108" s="47">
        <f t="shared" si="40"/>
        <v>49.7</v>
      </c>
      <c r="X108" s="47">
        <f t="shared" si="41"/>
        <v>18.74392</v>
      </c>
      <c r="Y108" s="56">
        <f t="shared" si="24"/>
      </c>
      <c r="Z108" s="56">
        <f t="shared" si="25"/>
      </c>
      <c r="AA108" s="56">
        <f t="shared" si="26"/>
        <v>18.74392</v>
      </c>
      <c r="AB108" s="56">
        <f t="shared" si="27"/>
      </c>
      <c r="AC108" s="56">
        <f t="shared" si="28"/>
      </c>
    </row>
    <row r="109" spans="1:29" ht="15">
      <c r="A109" s="82">
        <v>36655</v>
      </c>
      <c r="B109" s="83">
        <v>0.6736111111111112</v>
      </c>
      <c r="C109" s="37">
        <v>206</v>
      </c>
      <c r="D109" s="21">
        <v>0.40900000000000003</v>
      </c>
      <c r="E109" s="12">
        <f t="shared" si="29"/>
        <v>40.900000000000006</v>
      </c>
      <c r="F109" s="10">
        <v>82</v>
      </c>
      <c r="G109" s="10" t="s">
        <v>50</v>
      </c>
      <c r="H109" s="80">
        <v>6.7</v>
      </c>
      <c r="I109" s="54">
        <v>0.22</v>
      </c>
      <c r="J109" s="8">
        <f t="shared" si="30"/>
        <v>45.43948</v>
      </c>
      <c r="K109" s="7">
        <f t="shared" si="31"/>
      </c>
      <c r="L109" s="8">
        <f t="shared" si="32"/>
        <v>7425.476</v>
      </c>
      <c r="M109" s="8">
        <f t="shared" si="33"/>
        <v>243.8216</v>
      </c>
      <c r="N109" s="109">
        <f t="shared" si="34"/>
        <v>45.43948</v>
      </c>
      <c r="O109" s="109">
        <f t="shared" si="35"/>
      </c>
      <c r="P109" s="109">
        <f t="shared" si="36"/>
        <v>45.43948</v>
      </c>
      <c r="Q109" s="24">
        <f t="shared" si="37"/>
        <v>75.00000000072096</v>
      </c>
      <c r="R109" s="22">
        <v>0.11408690652173913</v>
      </c>
      <c r="S109" s="52">
        <v>0.3640776699029126</v>
      </c>
      <c r="T109" s="69">
        <f t="shared" si="38"/>
      </c>
      <c r="U109" s="68" t="str">
        <f t="shared" si="39"/>
        <v>***</v>
      </c>
      <c r="V109" s="62" t="str">
        <f t="shared" si="42"/>
        <v>***</v>
      </c>
      <c r="W109" s="47">
        <f t="shared" si="40"/>
        <v>40.900000000000006</v>
      </c>
      <c r="X109" s="47">
        <f t="shared" si="41"/>
        <v>45.43948</v>
      </c>
      <c r="Y109" s="56">
        <f t="shared" si="24"/>
      </c>
      <c r="Z109" s="56">
        <f t="shared" si="25"/>
      </c>
      <c r="AA109" s="56">
        <f t="shared" si="26"/>
        <v>45.43948</v>
      </c>
      <c r="AB109" s="56">
        <f t="shared" si="27"/>
      </c>
      <c r="AC109" s="56">
        <f t="shared" si="28"/>
      </c>
    </row>
    <row r="110" spans="1:29" ht="15">
      <c r="A110" s="82">
        <v>36676</v>
      </c>
      <c r="B110" s="83">
        <v>0.545138888888889</v>
      </c>
      <c r="C110" s="37">
        <v>369</v>
      </c>
      <c r="D110" s="21">
        <v>0.30600000000000005</v>
      </c>
      <c r="E110" s="12">
        <f t="shared" si="29"/>
        <v>30.600000000000005</v>
      </c>
      <c r="F110" s="10">
        <v>128</v>
      </c>
      <c r="G110" s="10" t="s">
        <v>50</v>
      </c>
      <c r="H110" s="80">
        <v>17</v>
      </c>
      <c r="I110" s="54">
        <v>0.25</v>
      </c>
      <c r="J110" s="8">
        <f t="shared" si="30"/>
        <v>127.05408</v>
      </c>
      <c r="K110" s="7">
        <f t="shared" si="31"/>
      </c>
      <c r="L110" s="8">
        <f t="shared" si="32"/>
        <v>33748.74</v>
      </c>
      <c r="M110" s="8">
        <f t="shared" si="33"/>
        <v>496.305</v>
      </c>
      <c r="N110" s="109">
        <f t="shared" si="34"/>
        <v>127.05408</v>
      </c>
      <c r="O110" s="109">
        <f t="shared" si="35"/>
      </c>
      <c r="P110" s="109">
        <f t="shared" si="36"/>
        <v>127.05408</v>
      </c>
      <c r="Q110" s="24">
        <f t="shared" si="37"/>
      </c>
      <c r="R110" s="22">
        <v>-0.10039647773913044</v>
      </c>
      <c r="S110" s="52">
        <v>0.5907859078590786</v>
      </c>
      <c r="T110" s="69">
        <f t="shared" si="38"/>
      </c>
      <c r="U110" s="68" t="str">
        <f t="shared" si="39"/>
        <v>***</v>
      </c>
      <c r="V110" s="62" t="str">
        <f t="shared" si="42"/>
        <v>***</v>
      </c>
      <c r="W110" s="47">
        <f t="shared" si="40"/>
        <v>30.600000000000005</v>
      </c>
      <c r="X110" s="47">
        <f t="shared" si="41"/>
        <v>127.05408</v>
      </c>
      <c r="Y110" s="56">
        <f t="shared" si="24"/>
      </c>
      <c r="Z110" s="56">
        <f t="shared" si="25"/>
        <v>127.05408</v>
      </c>
      <c r="AA110" s="56">
        <f t="shared" si="26"/>
      </c>
      <c r="AB110" s="56">
        <f t="shared" si="27"/>
      </c>
      <c r="AC110" s="56">
        <f t="shared" si="28"/>
      </c>
    </row>
    <row r="111" spans="1:29" ht="15">
      <c r="A111" s="82">
        <v>36689</v>
      </c>
      <c r="B111" s="83">
        <v>0.6770833333333334</v>
      </c>
      <c r="C111" s="37">
        <v>185</v>
      </c>
      <c r="D111" s="21">
        <v>0.43</v>
      </c>
      <c r="E111" s="12">
        <f t="shared" si="29"/>
        <v>43</v>
      </c>
      <c r="F111" s="10" t="s">
        <v>50</v>
      </c>
      <c r="G111" s="10">
        <v>2420</v>
      </c>
      <c r="H111" s="80" t="s">
        <v>50</v>
      </c>
      <c r="I111" s="54" t="s">
        <v>50</v>
      </c>
      <c r="J111" s="8">
        <f t="shared" si="30"/>
      </c>
      <c r="K111" s="7">
        <f t="shared" si="31"/>
        <v>10953378057600</v>
      </c>
      <c r="L111" s="8">
        <f t="shared" si="32"/>
      </c>
      <c r="M111" s="8">
        <f t="shared" si="33"/>
      </c>
      <c r="N111" s="109">
        <f t="shared" si="34"/>
      </c>
      <c r="O111" s="109">
        <f t="shared" si="35"/>
      </c>
      <c r="P111" s="109">
        <f t="shared" si="36"/>
      </c>
      <c r="Q111" s="24">
        <f t="shared" si="37"/>
        <v>24.000000000230706</v>
      </c>
      <c r="R111" s="22">
        <v>0.03650781008695652</v>
      </c>
      <c r="S111" s="52">
        <v>0.12972972972972974</v>
      </c>
      <c r="T111" s="69" t="str">
        <f t="shared" si="38"/>
        <v>***</v>
      </c>
      <c r="U111" s="68">
        <f t="shared" si="39"/>
      </c>
      <c r="V111" s="62" t="str">
        <f t="shared" si="42"/>
        <v>***</v>
      </c>
      <c r="W111" s="47">
        <f t="shared" si="40"/>
        <v>43</v>
      </c>
      <c r="X111" s="47">
        <f t="shared" si="41"/>
      </c>
      <c r="Y111" s="56">
        <f t="shared" si="24"/>
      </c>
      <c r="Z111" s="56">
        <f t="shared" si="25"/>
      </c>
      <c r="AA111" s="56">
        <f t="shared" si="26"/>
      </c>
      <c r="AB111" s="56">
        <f t="shared" si="27"/>
      </c>
      <c r="AC111" s="56">
        <f t="shared" si="28"/>
      </c>
    </row>
    <row r="112" spans="1:29" ht="15">
      <c r="A112" s="82">
        <v>36696</v>
      </c>
      <c r="B112" s="83">
        <v>0.7361111111111112</v>
      </c>
      <c r="C112" s="37">
        <v>1170</v>
      </c>
      <c r="D112" s="21">
        <v>0.135</v>
      </c>
      <c r="E112" s="12">
        <f t="shared" si="29"/>
        <v>13.5</v>
      </c>
      <c r="F112" s="10" t="s">
        <v>50</v>
      </c>
      <c r="G112" s="10">
        <v>1658</v>
      </c>
      <c r="H112" s="80" t="s">
        <v>50</v>
      </c>
      <c r="I112" s="54" t="s">
        <v>50</v>
      </c>
      <c r="J112" s="8">
        <f t="shared" si="30"/>
      </c>
      <c r="K112" s="7">
        <f t="shared" si="31"/>
        <v>47460397495680</v>
      </c>
      <c r="L112" s="8">
        <f t="shared" si="32"/>
      </c>
      <c r="M112" s="8">
        <f t="shared" si="33"/>
      </c>
      <c r="N112" s="109">
        <f t="shared" si="34"/>
      </c>
      <c r="O112" s="109">
        <f t="shared" si="35"/>
      </c>
      <c r="P112" s="109">
        <f t="shared" si="36"/>
      </c>
      <c r="Q112" s="24">
        <f t="shared" si="37"/>
      </c>
      <c r="R112" s="22">
        <v>-0.0912695252173913</v>
      </c>
      <c r="S112" s="52">
        <v>0.32735042735042735</v>
      </c>
      <c r="T112" s="69" t="str">
        <f t="shared" si="38"/>
        <v>***</v>
      </c>
      <c r="U112" s="68">
        <f t="shared" si="39"/>
      </c>
      <c r="V112" s="62" t="str">
        <f t="shared" si="42"/>
        <v>***</v>
      </c>
      <c r="W112" s="47">
        <f t="shared" si="40"/>
        <v>13.5</v>
      </c>
      <c r="X112" s="47">
        <f t="shared" si="41"/>
      </c>
      <c r="Y112" s="56">
        <f t="shared" si="24"/>
      </c>
      <c r="Z112" s="56">
        <f t="shared" si="25"/>
      </c>
      <c r="AA112" s="56">
        <f t="shared" si="26"/>
      </c>
      <c r="AB112" s="56">
        <f t="shared" si="27"/>
      </c>
      <c r="AC112" s="56">
        <f t="shared" si="28"/>
      </c>
    </row>
    <row r="113" spans="1:29" ht="15">
      <c r="A113" s="82">
        <v>36696</v>
      </c>
      <c r="B113" s="83">
        <v>0.7361111111111112</v>
      </c>
      <c r="C113" s="37">
        <v>1170</v>
      </c>
      <c r="D113" s="21">
        <v>0.135</v>
      </c>
      <c r="E113" s="12">
        <f t="shared" si="29"/>
        <v>13.5</v>
      </c>
      <c r="F113" s="10" t="s">
        <v>50</v>
      </c>
      <c r="G113" s="10">
        <v>1396</v>
      </c>
      <c r="H113" s="80" t="s">
        <v>50</v>
      </c>
      <c r="I113" s="54" t="s">
        <v>50</v>
      </c>
      <c r="J113" s="8">
        <f t="shared" si="30"/>
      </c>
      <c r="K113" s="7">
        <f t="shared" si="31"/>
        <v>39960624188160</v>
      </c>
      <c r="L113" s="8">
        <f t="shared" si="32"/>
      </c>
      <c r="M113" s="8">
        <f t="shared" si="33"/>
      </c>
      <c r="N113" s="109">
        <f t="shared" si="34"/>
      </c>
      <c r="O113" s="109">
        <f t="shared" si="35"/>
      </c>
      <c r="P113" s="109">
        <f t="shared" si="36"/>
      </c>
      <c r="Q113" s="24">
        <f t="shared" si="37"/>
      </c>
      <c r="R113" s="22">
        <v>-0.0912695252173913</v>
      </c>
      <c r="S113" s="52">
        <v>0.32735042735042735</v>
      </c>
      <c r="T113" s="69" t="str">
        <f t="shared" si="38"/>
        <v>***</v>
      </c>
      <c r="U113" s="68">
        <f t="shared" si="39"/>
      </c>
      <c r="V113" s="62" t="str">
        <f t="shared" si="42"/>
        <v>***</v>
      </c>
      <c r="W113" s="47">
        <f t="shared" si="40"/>
        <v>13.5</v>
      </c>
      <c r="X113" s="47">
        <f t="shared" si="41"/>
      </c>
      <c r="Y113" s="56">
        <f t="shared" si="24"/>
      </c>
      <c r="Z113" s="56">
        <f t="shared" si="25"/>
      </c>
      <c r="AA113" s="56">
        <f t="shared" si="26"/>
      </c>
      <c r="AB113" s="56">
        <f t="shared" si="27"/>
      </c>
      <c r="AC113" s="56">
        <f t="shared" si="28"/>
      </c>
    </row>
    <row r="114" spans="1:29" ht="15">
      <c r="A114" s="82">
        <v>36704</v>
      </c>
      <c r="B114" s="83">
        <v>0.6194444444444445</v>
      </c>
      <c r="C114" s="37">
        <v>785</v>
      </c>
      <c r="D114" s="21">
        <v>0.18799999999999994</v>
      </c>
      <c r="E114" s="12">
        <f t="shared" si="29"/>
        <v>18.799999999999994</v>
      </c>
      <c r="F114" s="10" t="s">
        <v>50</v>
      </c>
      <c r="G114" s="10">
        <v>703</v>
      </c>
      <c r="H114" s="80" t="s">
        <v>50</v>
      </c>
      <c r="I114" s="54" t="s">
        <v>50</v>
      </c>
      <c r="J114" s="8">
        <f t="shared" si="30"/>
      </c>
      <c r="K114" s="7">
        <f t="shared" si="31"/>
        <v>13501622622240</v>
      </c>
      <c r="L114" s="8">
        <f t="shared" si="32"/>
      </c>
      <c r="M114" s="8">
        <f t="shared" si="33"/>
      </c>
      <c r="N114" s="109">
        <f t="shared" si="34"/>
      </c>
      <c r="O114" s="109">
        <f t="shared" si="35"/>
      </c>
      <c r="P114" s="109">
        <f t="shared" si="36"/>
      </c>
      <c r="Q114" s="24">
        <f t="shared" si="37"/>
        <v>10.000000000096128</v>
      </c>
      <c r="R114" s="22">
        <v>0.015211587536231882</v>
      </c>
      <c r="S114" s="52">
        <v>0.2611464968152866</v>
      </c>
      <c r="T114" s="69" t="str">
        <f t="shared" si="38"/>
        <v>***</v>
      </c>
      <c r="U114" s="68">
        <f t="shared" si="39"/>
      </c>
      <c r="V114" s="62" t="str">
        <f t="shared" si="42"/>
        <v>***</v>
      </c>
      <c r="W114" s="47">
        <f t="shared" si="40"/>
        <v>18.799999999999994</v>
      </c>
      <c r="X114" s="47">
        <f t="shared" si="41"/>
      </c>
      <c r="Y114" s="56">
        <f t="shared" si="24"/>
      </c>
      <c r="Z114" s="56">
        <f t="shared" si="25"/>
      </c>
      <c r="AA114" s="56">
        <f t="shared" si="26"/>
      </c>
      <c r="AB114" s="56">
        <f t="shared" si="27"/>
      </c>
      <c r="AC114" s="56">
        <f t="shared" si="28"/>
      </c>
    </row>
    <row r="115" spans="1:29" ht="15">
      <c r="A115" s="82">
        <v>36710</v>
      </c>
      <c r="B115" s="83">
        <v>0.5972222222222222</v>
      </c>
      <c r="C115" s="37">
        <v>450</v>
      </c>
      <c r="D115" s="21">
        <v>0.275</v>
      </c>
      <c r="E115" s="12">
        <f t="shared" si="29"/>
        <v>27.500000000000004</v>
      </c>
      <c r="F115" s="10" t="s">
        <v>50</v>
      </c>
      <c r="G115" s="10">
        <v>24200</v>
      </c>
      <c r="H115" s="80" t="s">
        <v>50</v>
      </c>
      <c r="I115" s="54" t="s">
        <v>50</v>
      </c>
      <c r="J115" s="8">
        <f t="shared" si="30"/>
      </c>
      <c r="K115" s="7">
        <f t="shared" si="31"/>
        <v>266433520320000</v>
      </c>
      <c r="L115" s="8">
        <f t="shared" si="32"/>
      </c>
      <c r="M115" s="8">
        <f t="shared" si="33"/>
      </c>
      <c r="N115" s="109">
        <f t="shared" si="34"/>
      </c>
      <c r="O115" s="109">
        <f t="shared" si="35"/>
      </c>
      <c r="P115" s="109">
        <f t="shared" si="36"/>
      </c>
      <c r="Q115" s="24">
        <f t="shared" si="37"/>
        <v>265.0000000025474</v>
      </c>
      <c r="R115" s="22">
        <v>0.4031070697101449</v>
      </c>
      <c r="S115" s="52">
        <v>0.5888888888888889</v>
      </c>
      <c r="T115" s="69" t="str">
        <f t="shared" si="38"/>
        <v>***</v>
      </c>
      <c r="U115" s="68" t="str">
        <f t="shared" si="39"/>
        <v>***</v>
      </c>
      <c r="V115" s="62" t="str">
        <f t="shared" si="42"/>
        <v>***</v>
      </c>
      <c r="W115" s="47">
        <f t="shared" si="40"/>
        <v>27.500000000000004</v>
      </c>
      <c r="X115" s="47">
        <f t="shared" si="41"/>
      </c>
      <c r="Y115" s="56">
        <f t="shared" si="24"/>
      </c>
      <c r="Z115" s="56">
        <f t="shared" si="25"/>
      </c>
      <c r="AA115" s="56">
        <f t="shared" si="26"/>
      </c>
      <c r="AB115" s="56">
        <f t="shared" si="27"/>
      </c>
      <c r="AC115" s="56">
        <f t="shared" si="28"/>
      </c>
    </row>
    <row r="116" spans="1:29" ht="15">
      <c r="A116" s="82">
        <v>36717</v>
      </c>
      <c r="B116" s="83">
        <v>0.638888888888889</v>
      </c>
      <c r="C116" s="37">
        <v>148</v>
      </c>
      <c r="D116" s="21">
        <v>0.476</v>
      </c>
      <c r="E116" s="12">
        <f t="shared" si="29"/>
        <v>47.599999999999994</v>
      </c>
      <c r="F116" s="10" t="s">
        <v>50</v>
      </c>
      <c r="G116" s="10">
        <v>331</v>
      </c>
      <c r="H116" s="80" t="s">
        <v>50</v>
      </c>
      <c r="I116" s="54" t="s">
        <v>50</v>
      </c>
      <c r="J116" s="8">
        <f t="shared" si="30"/>
      </c>
      <c r="K116" s="7">
        <f t="shared" si="31"/>
        <v>1198534921344</v>
      </c>
      <c r="L116" s="8">
        <f t="shared" si="32"/>
      </c>
      <c r="M116" s="8">
        <f t="shared" si="33"/>
      </c>
      <c r="N116" s="109">
        <f t="shared" si="34"/>
      </c>
      <c r="O116" s="109">
        <f t="shared" si="35"/>
      </c>
      <c r="P116" s="109">
        <f t="shared" si="36"/>
      </c>
      <c r="Q116" s="24">
        <f t="shared" si="37"/>
      </c>
      <c r="R116" s="22">
        <v>-0.07757909643478261</v>
      </c>
      <c r="S116" s="52">
        <v>0.4864864864864865</v>
      </c>
      <c r="T116" s="69" t="str">
        <f t="shared" si="38"/>
        <v>***</v>
      </c>
      <c r="U116" s="68">
        <f t="shared" si="39"/>
      </c>
      <c r="V116" s="62" t="str">
        <f t="shared" si="42"/>
        <v>***</v>
      </c>
      <c r="W116" s="47">
        <f t="shared" si="40"/>
        <v>47.599999999999994</v>
      </c>
      <c r="X116" s="47">
        <f t="shared" si="41"/>
      </c>
      <c r="Y116" s="56">
        <f t="shared" si="24"/>
      </c>
      <c r="Z116" s="56">
        <f t="shared" si="25"/>
      </c>
      <c r="AA116" s="56">
        <f t="shared" si="26"/>
      </c>
      <c r="AB116" s="56">
        <f t="shared" si="27"/>
      </c>
      <c r="AC116" s="56">
        <f t="shared" si="28"/>
      </c>
    </row>
    <row r="117" spans="1:29" ht="15">
      <c r="A117" s="82">
        <v>36720</v>
      </c>
      <c r="B117" s="83">
        <v>0.4583333333333333</v>
      </c>
      <c r="C117" s="37">
        <v>76</v>
      </c>
      <c r="D117" s="21">
        <v>0.62</v>
      </c>
      <c r="E117" s="12">
        <f t="shared" si="29"/>
        <v>62</v>
      </c>
      <c r="F117" s="10">
        <v>66</v>
      </c>
      <c r="G117" s="10" t="s">
        <v>50</v>
      </c>
      <c r="H117" s="80">
        <v>3.8</v>
      </c>
      <c r="I117" s="54">
        <v>0.21</v>
      </c>
      <c r="J117" s="8">
        <f t="shared" si="30"/>
        <v>13.49304</v>
      </c>
      <c r="K117" s="7">
        <f t="shared" si="31"/>
      </c>
      <c r="L117" s="8">
        <f t="shared" si="32"/>
        <v>1553.7440000000001</v>
      </c>
      <c r="M117" s="8">
        <f t="shared" si="33"/>
        <v>85.86479999999999</v>
      </c>
      <c r="N117" s="109">
        <f t="shared" si="34"/>
        <v>13.49304</v>
      </c>
      <c r="O117" s="109">
        <f t="shared" si="35"/>
        <v>13.49304</v>
      </c>
      <c r="P117" s="109">
        <f t="shared" si="36"/>
      </c>
      <c r="Q117" s="24">
        <f t="shared" si="37"/>
      </c>
      <c r="R117" s="22">
        <v>-0.024338540057971012</v>
      </c>
      <c r="S117" s="52">
        <v>0.3026315789473684</v>
      </c>
      <c r="T117" s="69" t="str">
        <f t="shared" si="38"/>
        <v>***</v>
      </c>
      <c r="U117" s="68">
        <f t="shared" si="39"/>
      </c>
      <c r="V117" s="62" t="str">
        <f t="shared" si="42"/>
        <v>***</v>
      </c>
      <c r="W117" s="47">
        <f t="shared" si="40"/>
        <v>62</v>
      </c>
      <c r="X117" s="47">
        <f t="shared" si="41"/>
        <v>13.49304</v>
      </c>
      <c r="Y117" s="56">
        <f t="shared" si="24"/>
      </c>
      <c r="Z117" s="56">
        <f t="shared" si="25"/>
      </c>
      <c r="AA117" s="56">
        <f t="shared" si="26"/>
      </c>
      <c r="AB117" s="56">
        <f t="shared" si="27"/>
        <v>13.49304</v>
      </c>
      <c r="AC117" s="56">
        <f t="shared" si="28"/>
      </c>
    </row>
    <row r="118" spans="1:29" ht="15">
      <c r="A118" s="82">
        <v>36720</v>
      </c>
      <c r="B118" s="83">
        <v>0.4583333333333333</v>
      </c>
      <c r="C118" s="37">
        <v>76</v>
      </c>
      <c r="D118" s="21">
        <v>0.62</v>
      </c>
      <c r="E118" s="12">
        <f t="shared" si="29"/>
        <v>62</v>
      </c>
      <c r="F118" s="10">
        <v>65</v>
      </c>
      <c r="G118" s="10" t="s">
        <v>50</v>
      </c>
      <c r="H118" s="80">
        <v>3.8</v>
      </c>
      <c r="I118" s="54">
        <v>0.21</v>
      </c>
      <c r="J118" s="8">
        <f t="shared" si="30"/>
        <v>13.2886</v>
      </c>
      <c r="K118" s="7">
        <f t="shared" si="31"/>
      </c>
      <c r="L118" s="8">
        <f t="shared" si="32"/>
        <v>1553.7440000000001</v>
      </c>
      <c r="M118" s="8">
        <f t="shared" si="33"/>
        <v>85.86479999999999</v>
      </c>
      <c r="N118" s="109">
        <f t="shared" si="34"/>
        <v>13.2886</v>
      </c>
      <c r="O118" s="109">
        <f t="shared" si="35"/>
        <v>13.2886</v>
      </c>
      <c r="P118" s="109">
        <f t="shared" si="36"/>
      </c>
      <c r="Q118" s="24">
        <f t="shared" si="37"/>
      </c>
      <c r="R118" s="22">
        <v>-0.024338540057971012</v>
      </c>
      <c r="S118" s="52">
        <v>0.3026315789473684</v>
      </c>
      <c r="T118" s="69" t="str">
        <f t="shared" si="38"/>
        <v>***</v>
      </c>
      <c r="U118" s="68">
        <f t="shared" si="39"/>
      </c>
      <c r="V118" s="62" t="str">
        <f t="shared" si="42"/>
        <v>***</v>
      </c>
      <c r="W118" s="47">
        <f t="shared" si="40"/>
        <v>62</v>
      </c>
      <c r="X118" s="47">
        <f t="shared" si="41"/>
        <v>13.2886</v>
      </c>
      <c r="Y118" s="56">
        <f t="shared" si="24"/>
      </c>
      <c r="Z118" s="56">
        <f t="shared" si="25"/>
      </c>
      <c r="AA118" s="56">
        <f t="shared" si="26"/>
      </c>
      <c r="AB118" s="56">
        <f t="shared" si="27"/>
        <v>13.2886</v>
      </c>
      <c r="AC118" s="56">
        <f t="shared" si="28"/>
      </c>
    </row>
    <row r="119" spans="1:29" ht="15">
      <c r="A119" s="82">
        <v>36747</v>
      </c>
      <c r="B119" s="83">
        <v>0.4375</v>
      </c>
      <c r="C119" s="37">
        <v>71</v>
      </c>
      <c r="D119" s="21">
        <v>0.637</v>
      </c>
      <c r="E119" s="12">
        <f t="shared" si="29"/>
        <v>63.7</v>
      </c>
      <c r="F119" s="10">
        <v>128</v>
      </c>
      <c r="G119" s="10">
        <v>580</v>
      </c>
      <c r="H119" s="80">
        <v>0.7</v>
      </c>
      <c r="I119" s="54">
        <v>0.33</v>
      </c>
      <c r="J119" s="8">
        <f t="shared" si="30"/>
        <v>24.446720000000003</v>
      </c>
      <c r="K119" s="7">
        <f t="shared" si="31"/>
        <v>1007505267840</v>
      </c>
      <c r="L119" s="8">
        <f t="shared" si="32"/>
        <v>267.38599999999997</v>
      </c>
      <c r="M119" s="8">
        <f t="shared" si="33"/>
        <v>126.0534</v>
      </c>
      <c r="N119" s="109">
        <f t="shared" si="34"/>
        <v>24.446720000000003</v>
      </c>
      <c r="O119" s="109">
        <f t="shared" si="35"/>
        <v>24.446720000000003</v>
      </c>
      <c r="P119" s="109">
        <f t="shared" si="36"/>
      </c>
      <c r="Q119" s="24">
        <f t="shared" si="37"/>
        <v>11.000000000105741</v>
      </c>
      <c r="R119" s="22">
        <v>0.016732746289855074</v>
      </c>
      <c r="S119" s="52">
        <v>0.39436619718309857</v>
      </c>
      <c r="T119" s="69" t="str">
        <f t="shared" si="38"/>
        <v>***</v>
      </c>
      <c r="U119" s="68">
        <f t="shared" si="39"/>
      </c>
      <c r="V119" s="62" t="str">
        <f t="shared" si="42"/>
        <v>***</v>
      </c>
      <c r="W119" s="47">
        <f t="shared" si="40"/>
        <v>63.7</v>
      </c>
      <c r="X119" s="47">
        <f t="shared" si="41"/>
        <v>24.446720000000003</v>
      </c>
      <c r="Y119" s="56">
        <f t="shared" si="24"/>
      </c>
      <c r="Z119" s="56">
        <f t="shared" si="25"/>
      </c>
      <c r="AA119" s="56">
        <f t="shared" si="26"/>
      </c>
      <c r="AB119" s="56">
        <f t="shared" si="27"/>
        <v>24.446720000000003</v>
      </c>
      <c r="AC119" s="56">
        <f t="shared" si="28"/>
      </c>
    </row>
    <row r="120" spans="1:29" ht="15">
      <c r="A120" s="82">
        <v>36775</v>
      </c>
      <c r="B120" s="83">
        <v>0.5833333333333334</v>
      </c>
      <c r="C120" s="37">
        <v>32</v>
      </c>
      <c r="D120" s="21">
        <v>0.8220000000000001</v>
      </c>
      <c r="E120" s="12">
        <f t="shared" si="29"/>
        <v>82.2</v>
      </c>
      <c r="F120" s="10">
        <v>70</v>
      </c>
      <c r="G120" s="10" t="s">
        <v>50</v>
      </c>
      <c r="H120" s="80">
        <v>0.4</v>
      </c>
      <c r="I120" s="54">
        <v>0.26</v>
      </c>
      <c r="J120" s="8">
        <f t="shared" si="30"/>
        <v>6.0256</v>
      </c>
      <c r="K120" s="7">
        <f t="shared" si="31"/>
      </c>
      <c r="L120" s="8">
        <f t="shared" si="32"/>
        <v>68.864</v>
      </c>
      <c r="M120" s="8">
        <f t="shared" si="33"/>
        <v>44.7616</v>
      </c>
      <c r="N120" s="109">
        <f t="shared" si="34"/>
        <v>6.0256</v>
      </c>
      <c r="O120" s="109">
        <f t="shared" si="35"/>
        <v>6.0256</v>
      </c>
      <c r="P120" s="109">
        <f t="shared" si="36"/>
      </c>
      <c r="Q120" s="24">
        <f t="shared" si="37"/>
      </c>
      <c r="R120" s="22">
        <v>-0.0015211587536231883</v>
      </c>
      <c r="S120" s="52">
        <v>0.0625</v>
      </c>
      <c r="T120" s="69" t="str">
        <f t="shared" si="38"/>
        <v>***</v>
      </c>
      <c r="U120" s="68">
        <f t="shared" si="39"/>
      </c>
      <c r="V120" s="62" t="str">
        <f t="shared" si="42"/>
        <v>***</v>
      </c>
      <c r="W120" s="47">
        <f t="shared" si="40"/>
        <v>82.2</v>
      </c>
      <c r="X120" s="47">
        <f t="shared" si="41"/>
        <v>6.0256</v>
      </c>
      <c r="Y120" s="56">
        <f t="shared" si="24"/>
      </c>
      <c r="Z120" s="56">
        <f t="shared" si="25"/>
      </c>
      <c r="AA120" s="56">
        <f t="shared" si="26"/>
      </c>
      <c r="AB120" s="56">
        <f t="shared" si="27"/>
        <v>6.0256</v>
      </c>
      <c r="AC120" s="56">
        <f t="shared" si="28"/>
      </c>
    </row>
    <row r="121" spans="1:29" ht="15">
      <c r="A121" s="82">
        <v>36810</v>
      </c>
      <c r="B121" s="83">
        <v>0.4201388888888889</v>
      </c>
      <c r="C121" s="37">
        <v>115</v>
      </c>
      <c r="D121" s="21">
        <v>0.529</v>
      </c>
      <c r="E121" s="12">
        <f t="shared" si="29"/>
        <v>52.900000000000006</v>
      </c>
      <c r="F121" s="10">
        <v>28</v>
      </c>
      <c r="G121" s="10" t="s">
        <v>50</v>
      </c>
      <c r="H121" s="80">
        <v>6.3</v>
      </c>
      <c r="I121" s="54">
        <v>0.23</v>
      </c>
      <c r="J121" s="8">
        <f t="shared" si="30"/>
        <v>8.6618</v>
      </c>
      <c r="K121" s="7">
        <f t="shared" si="31"/>
      </c>
      <c r="L121" s="8">
        <f t="shared" si="32"/>
        <v>3897.81</v>
      </c>
      <c r="M121" s="8">
        <f t="shared" si="33"/>
        <v>142.30100000000002</v>
      </c>
      <c r="N121" s="109">
        <f t="shared" si="34"/>
        <v>8.6618</v>
      </c>
      <c r="O121" s="109">
        <f t="shared" si="35"/>
        <v>8.6618</v>
      </c>
      <c r="P121" s="109">
        <f t="shared" si="36"/>
        <v>8.6618</v>
      </c>
      <c r="Q121" s="24">
        <f t="shared" si="37"/>
      </c>
      <c r="R121" s="22">
        <v>-0.08366373144927536</v>
      </c>
      <c r="S121" s="52">
        <v>0.5304347826086957</v>
      </c>
      <c r="T121" s="69" t="str">
        <f t="shared" si="38"/>
        <v>***</v>
      </c>
      <c r="U121" s="68" t="str">
        <f t="shared" si="39"/>
        <v>***</v>
      </c>
      <c r="V121" s="62" t="str">
        <f t="shared" si="42"/>
        <v>***</v>
      </c>
      <c r="W121" s="47">
        <f t="shared" si="40"/>
        <v>52.900000000000006</v>
      </c>
      <c r="X121" s="47">
        <f t="shared" si="41"/>
        <v>8.6618</v>
      </c>
      <c r="Y121" s="56">
        <f t="shared" si="24"/>
      </c>
      <c r="Z121" s="56">
        <f t="shared" si="25"/>
      </c>
      <c r="AA121" s="56">
        <f t="shared" si="26"/>
        <v>8.6618</v>
      </c>
      <c r="AB121" s="56">
        <f t="shared" si="27"/>
      </c>
      <c r="AC121" s="56">
        <f t="shared" si="28"/>
      </c>
    </row>
    <row r="122" spans="1:29" ht="15">
      <c r="A122" s="82">
        <v>36844</v>
      </c>
      <c r="B122" s="83">
        <v>0.46527777777777773</v>
      </c>
      <c r="C122" s="37">
        <v>224</v>
      </c>
      <c r="D122" s="21">
        <v>0.395</v>
      </c>
      <c r="E122" s="12">
        <f t="shared" si="29"/>
        <v>39.5</v>
      </c>
      <c r="F122" s="10">
        <v>27</v>
      </c>
      <c r="G122" s="10" t="s">
        <v>50</v>
      </c>
      <c r="H122" s="80">
        <v>3.6</v>
      </c>
      <c r="I122" s="54">
        <v>0.27</v>
      </c>
      <c r="J122" s="8">
        <f t="shared" si="30"/>
        <v>16.26912</v>
      </c>
      <c r="K122" s="7">
        <f t="shared" si="31"/>
      </c>
      <c r="L122" s="8">
        <f t="shared" si="32"/>
        <v>4338.432</v>
      </c>
      <c r="M122" s="8">
        <f t="shared" si="33"/>
        <v>325.3824</v>
      </c>
      <c r="N122" s="109">
        <f t="shared" si="34"/>
        <v>16.26912</v>
      </c>
      <c r="O122" s="109">
        <f t="shared" si="35"/>
      </c>
      <c r="P122" s="109">
        <f t="shared" si="36"/>
        <v>16.26912</v>
      </c>
      <c r="Q122" s="24">
        <f t="shared" si="37"/>
        <v>62.000000000595996</v>
      </c>
      <c r="R122" s="22">
        <v>0.09431184272463768</v>
      </c>
      <c r="S122" s="52">
        <v>0.5089285714285714</v>
      </c>
      <c r="T122" s="69">
        <f t="shared" si="38"/>
      </c>
      <c r="U122" s="68" t="str">
        <f t="shared" si="39"/>
        <v>***</v>
      </c>
      <c r="V122" s="62" t="str">
        <f t="shared" si="42"/>
        <v>***</v>
      </c>
      <c r="W122" s="47">
        <f t="shared" si="40"/>
        <v>39.5</v>
      </c>
      <c r="X122" s="47">
        <f t="shared" si="41"/>
        <v>16.26912</v>
      </c>
      <c r="Y122" s="56">
        <f t="shared" si="24"/>
      </c>
      <c r="Z122" s="56">
        <f t="shared" si="25"/>
        <v>16.26912</v>
      </c>
      <c r="AA122" s="56">
        <f t="shared" si="26"/>
      </c>
      <c r="AB122" s="56">
        <f t="shared" si="27"/>
      </c>
      <c r="AC122" s="56">
        <f t="shared" si="28"/>
      </c>
    </row>
    <row r="123" spans="1:29" ht="15">
      <c r="A123" s="82">
        <v>36881</v>
      </c>
      <c r="B123" s="83">
        <v>0.47222222222222227</v>
      </c>
      <c r="C123" s="37">
        <v>500</v>
      </c>
      <c r="D123" s="21">
        <v>0.258</v>
      </c>
      <c r="E123" s="12">
        <f t="shared" si="29"/>
        <v>25.8</v>
      </c>
      <c r="F123" s="10">
        <v>26</v>
      </c>
      <c r="G123" s="10" t="s">
        <v>50</v>
      </c>
      <c r="H123" s="80">
        <v>12</v>
      </c>
      <c r="I123" s="54">
        <v>0.3</v>
      </c>
      <c r="J123" s="8">
        <f t="shared" si="30"/>
        <v>34.97</v>
      </c>
      <c r="K123" s="7">
        <f t="shared" si="31"/>
      </c>
      <c r="L123" s="8">
        <f t="shared" si="32"/>
        <v>32280</v>
      </c>
      <c r="M123" s="8">
        <f t="shared" si="33"/>
        <v>807</v>
      </c>
      <c r="N123" s="109">
        <f t="shared" si="34"/>
        <v>34.97</v>
      </c>
      <c r="O123" s="109">
        <f t="shared" si="35"/>
      </c>
      <c r="P123" s="109">
        <f t="shared" si="36"/>
      </c>
      <c r="Q123" s="24">
        <f t="shared" si="37"/>
      </c>
      <c r="R123" s="22">
        <v>-0.2738085756521739</v>
      </c>
      <c r="S123" s="52">
        <v>0.48</v>
      </c>
      <c r="T123" s="69">
        <f t="shared" si="38"/>
      </c>
      <c r="U123" s="68">
        <f t="shared" si="39"/>
      </c>
      <c r="V123" s="62" t="str">
        <f t="shared" si="42"/>
        <v>***</v>
      </c>
      <c r="W123" s="47">
        <f t="shared" si="40"/>
        <v>25.8</v>
      </c>
      <c r="X123" s="47">
        <f t="shared" si="41"/>
        <v>34.97</v>
      </c>
      <c r="Y123" s="56">
        <f t="shared" si="24"/>
      </c>
      <c r="Z123" s="56">
        <f t="shared" si="25"/>
        <v>34.97</v>
      </c>
      <c r="AA123" s="56">
        <f t="shared" si="26"/>
      </c>
      <c r="AB123" s="56">
        <f t="shared" si="27"/>
      </c>
      <c r="AC123" s="56">
        <f t="shared" si="28"/>
      </c>
    </row>
    <row r="124" spans="1:29" ht="15">
      <c r="A124" s="82">
        <v>36928</v>
      </c>
      <c r="B124" s="83">
        <v>0.5694444444444444</v>
      </c>
      <c r="C124" s="37">
        <v>353</v>
      </c>
      <c r="D124" s="21">
        <v>0.31200000000000006</v>
      </c>
      <c r="E124" s="12">
        <f t="shared" si="29"/>
        <v>31.200000000000006</v>
      </c>
      <c r="F124" s="10">
        <v>19</v>
      </c>
      <c r="G124" s="10" t="s">
        <v>50</v>
      </c>
      <c r="H124" s="80">
        <v>7.5</v>
      </c>
      <c r="I124" s="54">
        <v>0.2</v>
      </c>
      <c r="J124" s="8">
        <f t="shared" si="30"/>
        <v>18.04183</v>
      </c>
      <c r="K124" s="7">
        <f t="shared" si="31"/>
      </c>
      <c r="L124" s="8">
        <f t="shared" si="32"/>
        <v>14243.55</v>
      </c>
      <c r="M124" s="8">
        <f t="shared" si="33"/>
        <v>379.82800000000003</v>
      </c>
      <c r="N124" s="109">
        <f t="shared" si="34"/>
        <v>18.04183</v>
      </c>
      <c r="O124" s="109">
        <f t="shared" si="35"/>
      </c>
      <c r="P124" s="109">
        <f t="shared" si="36"/>
      </c>
      <c r="Q124" s="24">
        <f t="shared" si="37"/>
      </c>
      <c r="R124" s="22">
        <v>-0.41375518098550723</v>
      </c>
      <c r="S124" s="52">
        <v>0.31444759206798867</v>
      </c>
      <c r="T124" s="69">
        <f t="shared" si="38"/>
      </c>
      <c r="U124" s="68">
        <f t="shared" si="39"/>
      </c>
      <c r="V124" s="62" t="str">
        <f t="shared" si="42"/>
        <v>***</v>
      </c>
      <c r="W124" s="47">
        <f t="shared" si="40"/>
        <v>31.200000000000006</v>
      </c>
      <c r="X124" s="47">
        <f t="shared" si="41"/>
        <v>18.04183</v>
      </c>
      <c r="Y124" s="56">
        <f t="shared" si="24"/>
      </c>
      <c r="Z124" s="56">
        <f t="shared" si="25"/>
        <v>18.04183</v>
      </c>
      <c r="AA124" s="56">
        <f t="shared" si="26"/>
      </c>
      <c r="AB124" s="56">
        <f t="shared" si="27"/>
      </c>
      <c r="AC124" s="56">
        <f t="shared" si="28"/>
      </c>
    </row>
    <row r="125" spans="1:29" ht="15">
      <c r="A125" s="82">
        <v>36970</v>
      </c>
      <c r="B125" s="83">
        <v>0.4548611111111111</v>
      </c>
      <c r="C125" s="37">
        <v>483</v>
      </c>
      <c r="D125" s="21">
        <v>0.263</v>
      </c>
      <c r="E125" s="12">
        <f t="shared" si="29"/>
        <v>26.3</v>
      </c>
      <c r="F125" s="10">
        <v>34</v>
      </c>
      <c r="G125" s="10" t="s">
        <v>50</v>
      </c>
      <c r="H125" s="80">
        <v>8.8</v>
      </c>
      <c r="I125" s="54">
        <v>0.13</v>
      </c>
      <c r="J125" s="8">
        <f t="shared" si="30"/>
        <v>44.175180000000005</v>
      </c>
      <c r="K125" s="7">
        <f t="shared" si="31"/>
      </c>
      <c r="L125" s="8">
        <f t="shared" si="32"/>
        <v>22867.152000000002</v>
      </c>
      <c r="M125" s="8">
        <f t="shared" si="33"/>
        <v>337.8102</v>
      </c>
      <c r="N125" s="109">
        <f t="shared" si="34"/>
        <v>44.175180000000005</v>
      </c>
      <c r="O125" s="109">
        <f t="shared" si="35"/>
      </c>
      <c r="P125" s="109">
        <f t="shared" si="36"/>
        <v>44.175180000000005</v>
      </c>
      <c r="Q125" s="24">
        <f t="shared" si="37"/>
      </c>
      <c r="R125" s="22">
        <v>-0.0395501275942029</v>
      </c>
      <c r="S125" s="52">
        <v>0.7308488612836439</v>
      </c>
      <c r="T125" s="69">
        <f t="shared" si="38"/>
      </c>
      <c r="U125" s="68" t="str">
        <f t="shared" si="39"/>
        <v>***</v>
      </c>
      <c r="V125" s="62" t="str">
        <f t="shared" si="42"/>
        <v>***</v>
      </c>
      <c r="W125" s="47">
        <f t="shared" si="40"/>
        <v>26.3</v>
      </c>
      <c r="X125" s="47">
        <f t="shared" si="41"/>
        <v>44.175180000000005</v>
      </c>
      <c r="Y125" s="56">
        <f t="shared" si="24"/>
      </c>
      <c r="Z125" s="56">
        <f t="shared" si="25"/>
        <v>44.175180000000005</v>
      </c>
      <c r="AA125" s="56">
        <f t="shared" si="26"/>
      </c>
      <c r="AB125" s="56">
        <f t="shared" si="27"/>
      </c>
      <c r="AC125" s="56">
        <f t="shared" si="28"/>
      </c>
    </row>
    <row r="126" spans="1:29" ht="15">
      <c r="A126" s="82">
        <v>36984</v>
      </c>
      <c r="B126" s="83">
        <v>0.5972222222222222</v>
      </c>
      <c r="C126" s="37">
        <v>90</v>
      </c>
      <c r="D126" s="21">
        <v>0.585</v>
      </c>
      <c r="E126" s="12">
        <f t="shared" si="29"/>
        <v>58.5</v>
      </c>
      <c r="F126" s="10">
        <v>36</v>
      </c>
      <c r="G126" s="10" t="s">
        <v>50</v>
      </c>
      <c r="H126" s="80">
        <v>3.4</v>
      </c>
      <c r="I126" s="54">
        <v>0.13</v>
      </c>
      <c r="J126" s="8">
        <f t="shared" si="30"/>
        <v>8.7156</v>
      </c>
      <c r="K126" s="7">
        <f t="shared" si="31"/>
      </c>
      <c r="L126" s="8">
        <f t="shared" si="32"/>
        <v>1646.28</v>
      </c>
      <c r="M126" s="8">
        <f t="shared" si="33"/>
        <v>62.946000000000005</v>
      </c>
      <c r="N126" s="109">
        <f t="shared" si="34"/>
        <v>8.7156</v>
      </c>
      <c r="O126" s="109">
        <f t="shared" si="35"/>
      </c>
      <c r="P126" s="109">
        <f t="shared" si="36"/>
      </c>
      <c r="Q126" s="24">
        <f t="shared" si="37"/>
      </c>
      <c r="R126" s="22">
        <v>-0.013690428782608696</v>
      </c>
      <c r="S126" s="52">
        <v>0.18888888888888888</v>
      </c>
      <c r="T126" s="69">
        <f t="shared" si="38"/>
      </c>
      <c r="U126" s="68">
        <f t="shared" si="39"/>
      </c>
      <c r="V126" s="62" t="str">
        <f t="shared" si="42"/>
        <v>***</v>
      </c>
      <c r="W126" s="47">
        <f t="shared" si="40"/>
        <v>58.5</v>
      </c>
      <c r="X126" s="47">
        <f t="shared" si="41"/>
        <v>8.7156</v>
      </c>
      <c r="Y126" s="56">
        <f t="shared" si="24"/>
      </c>
      <c r="Z126" s="56">
        <f t="shared" si="25"/>
      </c>
      <c r="AA126" s="56">
        <f t="shared" si="26"/>
        <v>8.7156</v>
      </c>
      <c r="AB126" s="56">
        <f t="shared" si="27"/>
      </c>
      <c r="AC126" s="56">
        <f t="shared" si="28"/>
      </c>
    </row>
    <row r="127" spans="1:29" ht="15">
      <c r="A127" s="82">
        <v>37013</v>
      </c>
      <c r="B127" s="83">
        <v>0.5416666666666666</v>
      </c>
      <c r="C127" s="37">
        <v>93</v>
      </c>
      <c r="D127" s="21">
        <v>0.577</v>
      </c>
      <c r="E127" s="12">
        <f t="shared" si="29"/>
        <v>57.699999999999996</v>
      </c>
      <c r="F127" s="10">
        <v>52</v>
      </c>
      <c r="G127" s="10" t="s">
        <v>50</v>
      </c>
      <c r="H127" s="80">
        <v>5.3</v>
      </c>
      <c r="I127" s="54">
        <v>0.14</v>
      </c>
      <c r="J127" s="8">
        <f t="shared" si="30"/>
        <v>13.008840000000001</v>
      </c>
      <c r="K127" s="7">
        <f t="shared" si="31"/>
      </c>
      <c r="L127" s="8">
        <f t="shared" si="32"/>
        <v>2651.8019999999997</v>
      </c>
      <c r="M127" s="8">
        <f t="shared" si="33"/>
        <v>70.0476</v>
      </c>
      <c r="N127" s="109">
        <f t="shared" si="34"/>
        <v>13.008840000000001</v>
      </c>
      <c r="O127" s="109">
        <f t="shared" si="35"/>
      </c>
      <c r="P127" s="109">
        <f t="shared" si="36"/>
      </c>
      <c r="Q127" s="24">
        <f t="shared" si="37"/>
      </c>
      <c r="R127" s="22">
        <v>-0.012169270028985506</v>
      </c>
      <c r="S127" s="52">
        <v>0.24731182795698925</v>
      </c>
      <c r="T127" s="69">
        <f t="shared" si="38"/>
      </c>
      <c r="U127" s="68">
        <f t="shared" si="39"/>
      </c>
      <c r="V127" s="62" t="str">
        <f t="shared" si="42"/>
        <v>***</v>
      </c>
      <c r="W127" s="47">
        <f t="shared" si="40"/>
        <v>57.699999999999996</v>
      </c>
      <c r="X127" s="47">
        <f t="shared" si="41"/>
        <v>13.008840000000001</v>
      </c>
      <c r="Y127" s="56">
        <f t="shared" si="24"/>
      </c>
      <c r="Z127" s="56">
        <f t="shared" si="25"/>
      </c>
      <c r="AA127" s="56">
        <f t="shared" si="26"/>
        <v>13.008840000000001</v>
      </c>
      <c r="AB127" s="56">
        <f t="shared" si="27"/>
      </c>
      <c r="AC127" s="56">
        <f t="shared" si="28"/>
      </c>
    </row>
    <row r="128" spans="1:29" ht="15">
      <c r="A128" s="82">
        <v>37047</v>
      </c>
      <c r="B128" s="83">
        <v>0.4826388888888889</v>
      </c>
      <c r="C128" s="37">
        <v>710</v>
      </c>
      <c r="D128" s="21">
        <v>0.20099999999999996</v>
      </c>
      <c r="E128" s="12">
        <f t="shared" si="29"/>
        <v>20.099999999999994</v>
      </c>
      <c r="F128" s="10">
        <v>134</v>
      </c>
      <c r="G128" s="10" t="s">
        <v>50</v>
      </c>
      <c r="H128" s="80">
        <v>9.5</v>
      </c>
      <c r="I128" s="54">
        <v>0.25</v>
      </c>
      <c r="J128" s="8">
        <f t="shared" si="30"/>
        <v>255.9266</v>
      </c>
      <c r="K128" s="7">
        <f t="shared" si="31"/>
      </c>
      <c r="L128" s="8">
        <f t="shared" si="32"/>
        <v>36288.1</v>
      </c>
      <c r="M128" s="8">
        <f t="shared" si="33"/>
        <v>954.9499999999999</v>
      </c>
      <c r="N128" s="109">
        <f t="shared" si="34"/>
        <v>255.9266</v>
      </c>
      <c r="O128" s="109">
        <f t="shared" si="35"/>
        <v>255.9266</v>
      </c>
      <c r="P128" s="109">
        <f t="shared" si="36"/>
        <v>255.9266</v>
      </c>
      <c r="Q128" s="24">
        <f t="shared" si="37"/>
        <v>325.00000000312417</v>
      </c>
      <c r="R128" s="22">
        <v>0.4943765949275362</v>
      </c>
      <c r="S128" s="52">
        <v>0.45774647887323944</v>
      </c>
      <c r="T128" s="69" t="str">
        <f t="shared" si="38"/>
        <v>***</v>
      </c>
      <c r="U128" s="68" t="str">
        <f t="shared" si="39"/>
        <v>***</v>
      </c>
      <c r="V128" s="62" t="str">
        <f t="shared" si="42"/>
        <v>***</v>
      </c>
      <c r="W128" s="47">
        <f t="shared" si="40"/>
        <v>20.099999999999994</v>
      </c>
      <c r="X128" s="47">
        <f t="shared" si="41"/>
        <v>255.9266</v>
      </c>
      <c r="Y128" s="56">
        <f t="shared" si="24"/>
      </c>
      <c r="Z128" s="56">
        <f t="shared" si="25"/>
        <v>255.9266</v>
      </c>
      <c r="AA128" s="56">
        <f t="shared" si="26"/>
      </c>
      <c r="AB128" s="56">
        <f t="shared" si="27"/>
      </c>
      <c r="AC128" s="56">
        <f t="shared" si="28"/>
      </c>
    </row>
    <row r="129" spans="1:29" ht="15">
      <c r="A129" s="82">
        <v>37082</v>
      </c>
      <c r="B129" s="83">
        <v>0.4583333333333333</v>
      </c>
      <c r="C129" s="37">
        <v>84</v>
      </c>
      <c r="D129" s="21">
        <v>0.6</v>
      </c>
      <c r="E129" s="12">
        <f t="shared" si="29"/>
        <v>60</v>
      </c>
      <c r="F129" s="10">
        <v>79</v>
      </c>
      <c r="G129" s="10" t="s">
        <v>50</v>
      </c>
      <c r="H129" s="80">
        <v>1.2</v>
      </c>
      <c r="I129" s="54">
        <v>0.27</v>
      </c>
      <c r="J129" s="8">
        <f t="shared" si="30"/>
        <v>17.85084</v>
      </c>
      <c r="K129" s="7">
        <f t="shared" si="31"/>
      </c>
      <c r="L129" s="8">
        <f t="shared" si="32"/>
        <v>542.304</v>
      </c>
      <c r="M129" s="8">
        <f t="shared" si="33"/>
        <v>122.0184</v>
      </c>
      <c r="N129" s="109">
        <f t="shared" si="34"/>
        <v>17.85084</v>
      </c>
      <c r="O129" s="109">
        <f t="shared" si="35"/>
        <v>17.85084</v>
      </c>
      <c r="P129" s="109">
        <f t="shared" si="36"/>
      </c>
      <c r="Q129" s="24">
        <f t="shared" si="37"/>
      </c>
      <c r="R129" s="22">
        <v>-0.06084635014492753</v>
      </c>
      <c r="S129" s="52">
        <v>0.42857142857142855</v>
      </c>
      <c r="T129" s="69" t="str">
        <f t="shared" si="38"/>
        <v>***</v>
      </c>
      <c r="U129" s="68">
        <f t="shared" si="39"/>
      </c>
      <c r="V129" s="62" t="str">
        <f t="shared" si="42"/>
        <v>***</v>
      </c>
      <c r="W129" s="47">
        <f t="shared" si="40"/>
        <v>60</v>
      </c>
      <c r="X129" s="47">
        <f t="shared" si="41"/>
        <v>17.85084</v>
      </c>
      <c r="Y129" s="56">
        <f t="shared" si="24"/>
      </c>
      <c r="Z129" s="56">
        <f t="shared" si="25"/>
      </c>
      <c r="AA129" s="56">
        <f t="shared" si="26"/>
        <v>17.85084</v>
      </c>
      <c r="AB129" s="56">
        <f t="shared" si="27"/>
        <v>17.85084</v>
      </c>
      <c r="AC129" s="56">
        <f t="shared" si="28"/>
      </c>
    </row>
    <row r="130" spans="1:29" ht="15">
      <c r="A130" s="82">
        <v>37131</v>
      </c>
      <c r="B130" s="83">
        <v>0.4895833333333333</v>
      </c>
      <c r="C130" s="37">
        <v>106</v>
      </c>
      <c r="D130" s="21">
        <v>0.546</v>
      </c>
      <c r="E130" s="12">
        <f t="shared" si="29"/>
        <v>54.6</v>
      </c>
      <c r="F130" s="10">
        <v>112</v>
      </c>
      <c r="G130" s="10" t="s">
        <v>50</v>
      </c>
      <c r="H130" s="80">
        <v>1.9</v>
      </c>
      <c r="I130" s="54">
        <v>0.31</v>
      </c>
      <c r="J130" s="8">
        <f t="shared" si="30"/>
        <v>31.93568</v>
      </c>
      <c r="K130" s="7">
        <f t="shared" si="31"/>
      </c>
      <c r="L130" s="8">
        <f t="shared" si="32"/>
        <v>1083.532</v>
      </c>
      <c r="M130" s="8">
        <f t="shared" si="33"/>
        <v>176.7868</v>
      </c>
      <c r="N130" s="109">
        <f t="shared" si="34"/>
        <v>31.93568</v>
      </c>
      <c r="O130" s="109">
        <f t="shared" si="35"/>
        <v>31.93568</v>
      </c>
      <c r="P130" s="109">
        <f t="shared" si="36"/>
      </c>
      <c r="Q130" s="24">
        <f t="shared" si="37"/>
      </c>
      <c r="R130" s="22">
        <v>-0.01825390504347826</v>
      </c>
      <c r="S130" s="52">
        <v>0.42452830188679247</v>
      </c>
      <c r="T130" s="69" t="str">
        <f t="shared" si="38"/>
        <v>***</v>
      </c>
      <c r="U130" s="68">
        <f t="shared" si="39"/>
      </c>
      <c r="V130" s="62" t="str">
        <f t="shared" si="42"/>
        <v>***</v>
      </c>
      <c r="W130" s="47">
        <f t="shared" si="40"/>
        <v>54.6</v>
      </c>
      <c r="X130" s="47">
        <f t="shared" si="41"/>
        <v>31.93568</v>
      </c>
      <c r="Y130" s="56">
        <f t="shared" si="24"/>
      </c>
      <c r="Z130" s="56">
        <f t="shared" si="25"/>
      </c>
      <c r="AA130" s="56">
        <f t="shared" si="26"/>
        <v>31.93568</v>
      </c>
      <c r="AB130" s="56">
        <f t="shared" si="27"/>
      </c>
      <c r="AC130" s="56">
        <f t="shared" si="28"/>
      </c>
    </row>
    <row r="131" spans="1:29" ht="15">
      <c r="A131" s="82">
        <v>37162</v>
      </c>
      <c r="B131" s="83">
        <v>0.47222222222222227</v>
      </c>
      <c r="C131" s="37">
        <v>70</v>
      </c>
      <c r="D131" s="21">
        <v>0.642</v>
      </c>
      <c r="E131" s="12">
        <f t="shared" si="29"/>
        <v>64.2</v>
      </c>
      <c r="F131" s="10">
        <v>79</v>
      </c>
      <c r="G131" s="10" t="s">
        <v>50</v>
      </c>
      <c r="H131" s="80">
        <v>3.9</v>
      </c>
      <c r="I131" s="54">
        <v>0.22</v>
      </c>
      <c r="J131" s="8">
        <f t="shared" si="30"/>
        <v>14.8757</v>
      </c>
      <c r="K131" s="7">
        <f t="shared" si="31"/>
      </c>
      <c r="L131" s="8">
        <f t="shared" si="32"/>
        <v>1468.74</v>
      </c>
      <c r="M131" s="8">
        <f t="shared" si="33"/>
        <v>82.852</v>
      </c>
      <c r="N131" s="109">
        <f t="shared" si="34"/>
        <v>14.8757</v>
      </c>
      <c r="O131" s="109">
        <f t="shared" si="35"/>
        <v>14.8757</v>
      </c>
      <c r="P131" s="109">
        <f t="shared" si="36"/>
        <v>14.8757</v>
      </c>
      <c r="Q131" s="24">
        <f t="shared" si="37"/>
      </c>
      <c r="R131" s="22">
        <v>-0.031944333826086954</v>
      </c>
      <c r="S131" s="52">
        <v>0.5</v>
      </c>
      <c r="T131" s="69" t="str">
        <f t="shared" si="38"/>
        <v>***</v>
      </c>
      <c r="U131" s="68" t="str">
        <f t="shared" si="39"/>
        <v>***</v>
      </c>
      <c r="V131" s="62" t="str">
        <f t="shared" si="42"/>
        <v>***</v>
      </c>
      <c r="W131" s="47">
        <f t="shared" si="40"/>
        <v>64.2</v>
      </c>
      <c r="X131" s="47">
        <f t="shared" si="41"/>
        <v>14.8757</v>
      </c>
      <c r="Y131" s="56">
        <f t="shared" si="24"/>
      </c>
      <c r="Z131" s="56">
        <f t="shared" si="25"/>
      </c>
      <c r="AA131" s="56">
        <f t="shared" si="26"/>
      </c>
      <c r="AB131" s="56">
        <f t="shared" si="27"/>
        <v>14.8757</v>
      </c>
      <c r="AC131" s="56">
        <f t="shared" si="28"/>
      </c>
    </row>
    <row r="132" spans="1:29" ht="15">
      <c r="A132" s="82">
        <v>37193</v>
      </c>
      <c r="B132" s="83">
        <v>0.638888888888889</v>
      </c>
      <c r="C132" s="37">
        <v>1270</v>
      </c>
      <c r="D132" s="21">
        <v>0.123</v>
      </c>
      <c r="E132" s="12">
        <f t="shared" si="29"/>
        <v>12.3</v>
      </c>
      <c r="F132" s="10">
        <v>53</v>
      </c>
      <c r="G132" s="10" t="s">
        <v>50</v>
      </c>
      <c r="H132" s="80">
        <v>5.4</v>
      </c>
      <c r="I132" s="54">
        <v>0.38</v>
      </c>
      <c r="J132" s="8">
        <f t="shared" si="30"/>
        <v>181.06390000000002</v>
      </c>
      <c r="K132" s="7">
        <f t="shared" si="31"/>
      </c>
      <c r="L132" s="8">
        <f t="shared" si="32"/>
        <v>36896.04</v>
      </c>
      <c r="M132" s="8">
        <f t="shared" si="33"/>
        <v>2596.388</v>
      </c>
      <c r="N132" s="109">
        <f t="shared" si="34"/>
        <v>181.06390000000002</v>
      </c>
      <c r="O132" s="109">
        <f t="shared" si="35"/>
        <v>181.06390000000002</v>
      </c>
      <c r="P132" s="109">
        <f t="shared" si="36"/>
        <v>181.06390000000002</v>
      </c>
      <c r="Q132" s="24">
        <f t="shared" si="37"/>
      </c>
      <c r="R132" s="22">
        <v>-0.31944333826086957</v>
      </c>
      <c r="S132" s="52">
        <v>0.7338582677165354</v>
      </c>
      <c r="T132" s="69" t="str">
        <f t="shared" si="38"/>
        <v>***</v>
      </c>
      <c r="U132" s="68" t="str">
        <f t="shared" si="39"/>
        <v>***</v>
      </c>
      <c r="V132" s="62" t="str">
        <f t="shared" si="42"/>
        <v>***</v>
      </c>
      <c r="W132" s="47">
        <f t="shared" si="40"/>
        <v>12.3</v>
      </c>
      <c r="X132" s="47">
        <f t="shared" si="41"/>
        <v>181.06390000000002</v>
      </c>
      <c r="Y132" s="56">
        <f t="shared" si="24"/>
      </c>
      <c r="Z132" s="56">
        <f t="shared" si="25"/>
        <v>181.06390000000002</v>
      </c>
      <c r="AA132" s="56">
        <f t="shared" si="26"/>
      </c>
      <c r="AB132" s="56">
        <f t="shared" si="27"/>
      </c>
      <c r="AC132" s="56">
        <f t="shared" si="28"/>
      </c>
    </row>
    <row r="133" spans="1:29" ht="15">
      <c r="A133" s="82">
        <v>37221</v>
      </c>
      <c r="B133" s="83">
        <v>0.46527777777777773</v>
      </c>
      <c r="C133" s="37">
        <v>82</v>
      </c>
      <c r="D133" s="21">
        <v>0.604</v>
      </c>
      <c r="E133" s="12">
        <f t="shared" si="29"/>
        <v>60.4</v>
      </c>
      <c r="F133" s="10">
        <v>24</v>
      </c>
      <c r="G133" s="10" t="s">
        <v>50</v>
      </c>
      <c r="H133" s="80">
        <v>1.5</v>
      </c>
      <c r="I133" s="54">
        <v>0.13</v>
      </c>
      <c r="J133" s="8">
        <f t="shared" si="30"/>
        <v>5.29392</v>
      </c>
      <c r="K133" s="7">
        <f t="shared" si="31"/>
      </c>
      <c r="L133" s="8">
        <f t="shared" si="32"/>
        <v>661.74</v>
      </c>
      <c r="M133" s="8">
        <f t="shared" si="33"/>
        <v>57.3508</v>
      </c>
      <c r="N133" s="109">
        <f t="shared" si="34"/>
        <v>5.29392</v>
      </c>
      <c r="O133" s="109">
        <f t="shared" si="35"/>
      </c>
      <c r="P133" s="109">
        <f t="shared" si="36"/>
      </c>
      <c r="Q133" s="24">
        <f t="shared" si="37"/>
        <v>7.00000000006729</v>
      </c>
      <c r="R133" s="22">
        <v>0.010648111275362318</v>
      </c>
      <c r="S133" s="52">
        <v>0.2073170731707317</v>
      </c>
      <c r="T133" s="69">
        <f t="shared" si="38"/>
      </c>
      <c r="U133" s="68">
        <f t="shared" si="39"/>
      </c>
      <c r="V133" s="62" t="str">
        <f t="shared" si="42"/>
        <v>***</v>
      </c>
      <c r="W133" s="47">
        <f t="shared" si="40"/>
        <v>60.4</v>
      </c>
      <c r="X133" s="47">
        <f t="shared" si="41"/>
        <v>5.29392</v>
      </c>
      <c r="Y133" s="56">
        <f t="shared" si="24"/>
      </c>
      <c r="Z133" s="56">
        <f t="shared" si="25"/>
      </c>
      <c r="AA133" s="56">
        <f t="shared" si="26"/>
      </c>
      <c r="AB133" s="56">
        <f t="shared" si="27"/>
        <v>5.29392</v>
      </c>
      <c r="AC133" s="56">
        <f t="shared" si="28"/>
      </c>
    </row>
    <row r="134" spans="1:29" ht="15">
      <c r="A134" s="82">
        <v>37235</v>
      </c>
      <c r="B134" s="83">
        <v>0.5729166666666666</v>
      </c>
      <c r="C134" s="37">
        <v>187</v>
      </c>
      <c r="D134" s="21">
        <v>0.42800000000000005</v>
      </c>
      <c r="E134" s="12">
        <f t="shared" si="29"/>
        <v>42.800000000000004</v>
      </c>
      <c r="F134" s="10">
        <v>14</v>
      </c>
      <c r="G134" s="10" t="s">
        <v>50</v>
      </c>
      <c r="H134" s="80">
        <v>5.1</v>
      </c>
      <c r="I134" s="54">
        <v>0.14</v>
      </c>
      <c r="J134" s="8">
        <f t="shared" si="30"/>
        <v>7.04242</v>
      </c>
      <c r="K134" s="7">
        <f t="shared" si="31"/>
      </c>
      <c r="L134" s="8">
        <f t="shared" si="32"/>
        <v>5130.906</v>
      </c>
      <c r="M134" s="8">
        <f t="shared" si="33"/>
        <v>140.84840000000003</v>
      </c>
      <c r="N134" s="109">
        <f t="shared" si="34"/>
        <v>7.04242</v>
      </c>
      <c r="O134" s="109">
        <f t="shared" si="35"/>
      </c>
      <c r="P134" s="109">
        <f t="shared" si="36"/>
      </c>
      <c r="Q134" s="24">
        <f t="shared" si="37"/>
      </c>
      <c r="R134" s="22">
        <v>-0.06084635014492753</v>
      </c>
      <c r="S134" s="52">
        <v>0.23529411764705882</v>
      </c>
      <c r="T134" s="69">
        <f t="shared" si="38"/>
      </c>
      <c r="U134" s="68">
        <f t="shared" si="39"/>
      </c>
      <c r="V134" s="62" t="str">
        <f t="shared" si="42"/>
        <v>***</v>
      </c>
      <c r="W134" s="47">
        <f t="shared" si="40"/>
        <v>42.800000000000004</v>
      </c>
      <c r="X134" s="47">
        <f t="shared" si="41"/>
        <v>7.04242</v>
      </c>
      <c r="Y134" s="56">
        <f t="shared" si="24"/>
      </c>
      <c r="Z134" s="56">
        <f t="shared" si="25"/>
      </c>
      <c r="AA134" s="56">
        <f t="shared" si="26"/>
        <v>7.04242</v>
      </c>
      <c r="AB134" s="56">
        <f t="shared" si="27"/>
      </c>
      <c r="AC134" s="56">
        <f t="shared" si="28"/>
      </c>
    </row>
    <row r="135" spans="1:29" ht="15">
      <c r="A135" s="82">
        <v>37270</v>
      </c>
      <c r="B135" s="83">
        <v>0.513888888888889</v>
      </c>
      <c r="C135" s="37">
        <v>109</v>
      </c>
      <c r="D135" s="21">
        <v>0.5409999999999999</v>
      </c>
      <c r="E135" s="12">
        <f t="shared" si="29"/>
        <v>54.099999999999994</v>
      </c>
      <c r="F135" s="10">
        <v>4</v>
      </c>
      <c r="G135" s="10" t="s">
        <v>50</v>
      </c>
      <c r="H135" s="80">
        <v>3.2365</v>
      </c>
      <c r="I135" s="54">
        <v>0.0748</v>
      </c>
      <c r="J135" s="8">
        <f t="shared" si="30"/>
        <v>1.17284</v>
      </c>
      <c r="K135" s="7">
        <f t="shared" si="31"/>
      </c>
      <c r="L135" s="8">
        <f t="shared" si="32"/>
        <v>1897.94833</v>
      </c>
      <c r="M135" s="8">
        <f t="shared" si="33"/>
        <v>43.864216</v>
      </c>
      <c r="N135" s="109">
        <f t="shared" si="34"/>
        <v>1.17284</v>
      </c>
      <c r="O135" s="109">
        <f t="shared" si="35"/>
      </c>
      <c r="P135" s="109">
        <f t="shared" si="36"/>
      </c>
      <c r="Q135" s="24">
        <f t="shared" si="37"/>
        <v>8.000000000076902</v>
      </c>
      <c r="R135" s="22">
        <v>0.012169270028985506</v>
      </c>
      <c r="S135" s="52">
        <v>0.09174311926605505</v>
      </c>
      <c r="T135" s="69">
        <f t="shared" si="38"/>
      </c>
      <c r="U135" s="68">
        <f t="shared" si="39"/>
      </c>
      <c r="V135" s="62" t="str">
        <f t="shared" si="42"/>
        <v>***</v>
      </c>
      <c r="W135" s="47">
        <f t="shared" si="40"/>
        <v>54.099999999999994</v>
      </c>
      <c r="X135" s="47">
        <f t="shared" si="41"/>
        <v>1.17284</v>
      </c>
      <c r="Y135" s="56">
        <f t="shared" si="24"/>
      </c>
      <c r="Z135" s="56">
        <f t="shared" si="25"/>
      </c>
      <c r="AA135" s="56">
        <f t="shared" si="26"/>
        <v>1.17284</v>
      </c>
      <c r="AB135" s="56">
        <f t="shared" si="27"/>
      </c>
      <c r="AC135" s="56">
        <f t="shared" si="28"/>
      </c>
    </row>
    <row r="136" spans="1:29" ht="15">
      <c r="A136" s="82">
        <v>37305</v>
      </c>
      <c r="B136" s="83">
        <v>0.6875</v>
      </c>
      <c r="C136" s="37">
        <v>197</v>
      </c>
      <c r="D136" s="21">
        <v>0.41800000000000004</v>
      </c>
      <c r="E136" s="12">
        <f t="shared" si="29"/>
        <v>41.800000000000004</v>
      </c>
      <c r="F136" s="10">
        <v>6</v>
      </c>
      <c r="G136" s="10" t="s">
        <v>50</v>
      </c>
      <c r="H136" s="80">
        <v>5.4712</v>
      </c>
      <c r="I136" s="54">
        <v>0.0796</v>
      </c>
      <c r="J136" s="8">
        <f t="shared" si="30"/>
        <v>3.17958</v>
      </c>
      <c r="K136" s="7">
        <f t="shared" si="31"/>
      </c>
      <c r="L136" s="8">
        <f t="shared" si="32"/>
        <v>5798.706031999999</v>
      </c>
      <c r="M136" s="8">
        <f t="shared" si="33"/>
        <v>84.364856</v>
      </c>
      <c r="N136" s="109">
        <f t="shared" si="34"/>
        <v>3.17958</v>
      </c>
      <c r="O136" s="109">
        <f t="shared" si="35"/>
      </c>
      <c r="P136" s="109">
        <f t="shared" si="36"/>
      </c>
      <c r="Q136" s="24">
        <f t="shared" si="37"/>
      </c>
      <c r="R136" s="22">
        <v>-0.04715592136231884</v>
      </c>
      <c r="S136" s="52">
        <v>0</v>
      </c>
      <c r="T136" s="69">
        <f t="shared" si="38"/>
      </c>
      <c r="U136" s="68">
        <f t="shared" si="39"/>
      </c>
      <c r="V136" s="62" t="str">
        <f aca="true" t="shared" si="43" ref="V136:V144">IF(OR(A136="",YEAR(A136)&lt;YEAR(V$4),YEAR(A136)&gt;YEAR(V$6)),"","***")</f>
        <v>***</v>
      </c>
      <c r="W136" s="47">
        <f t="shared" si="40"/>
        <v>41.800000000000004</v>
      </c>
      <c r="X136" s="47">
        <f t="shared" si="41"/>
        <v>3.17958</v>
      </c>
      <c r="Y136" s="56">
        <f aca="true" t="shared" si="44" ref="Y136:Y144">IF(OR($X136="",$W136="",$W136&lt;0,$W136&gt;10),"",$X136)</f>
      </c>
      <c r="Z136" s="56">
        <f aca="true" t="shared" si="45" ref="Z136:Z144">IF(OR($X136="",$W136="",$W136&lt;10,$W136&gt;40),"",$X136)</f>
      </c>
      <c r="AA136" s="56">
        <f aca="true" t="shared" si="46" ref="AA136:AA144">IF(OR($X136="",$W136="",$W136&lt;40,$W136&gt;60),"",$X136)</f>
        <v>3.17958</v>
      </c>
      <c r="AB136" s="56">
        <f aca="true" t="shared" si="47" ref="AB136:AB144">IF(OR($X136="",$W136="",$W136&lt;60,$W136&gt;90),"",$X136)</f>
      </c>
      <c r="AC136" s="56">
        <f aca="true" t="shared" si="48" ref="AC136:AC144">IF(OR($X136="",$W136="",$W136&lt;90,$W136&gt;100),"",$X136)</f>
      </c>
    </row>
    <row r="137" spans="1:29" ht="15">
      <c r="A137" s="82">
        <v>37305</v>
      </c>
      <c r="B137" s="83">
        <v>0.6875</v>
      </c>
      <c r="C137" s="37">
        <v>197</v>
      </c>
      <c r="D137" s="21">
        <v>0.41800000000000004</v>
      </c>
      <c r="E137" s="12">
        <f aca="true" t="shared" si="49" ref="E137:E144">IF(D137="","",100*D137)</f>
        <v>41.800000000000004</v>
      </c>
      <c r="F137" s="10">
        <v>7</v>
      </c>
      <c r="G137" s="10" t="s">
        <v>50</v>
      </c>
      <c r="H137" s="80">
        <v>5.4888</v>
      </c>
      <c r="I137" s="54">
        <v>0.0758</v>
      </c>
      <c r="J137" s="8">
        <f aca="true" t="shared" si="50" ref="J137:J144">IF(OR($C137="",F137=""),"",($C137*F137*(5.38/2000)))</f>
        <v>3.7095100000000003</v>
      </c>
      <c r="K137" s="7">
        <f aca="true" t="shared" si="51" ref="K137:K144">IF(OR($C137="",G137=""),"",($C137*G137*((28317/100)*60*60*24)))</f>
      </c>
      <c r="L137" s="8">
        <f aca="true" t="shared" si="52" ref="L137:L144">IF(OR($C137="",H137=""),"",($C137*H137*5.38))</f>
        <v>5817.359568</v>
      </c>
      <c r="M137" s="8">
        <f aca="true" t="shared" si="53" ref="M137:M144">IF(OR($C137="",I137=""),"",($C137*I137*5.38))</f>
        <v>80.337388</v>
      </c>
      <c r="N137" s="109">
        <f aca="true" t="shared" si="54" ref="N137:N144">IF(J137="","",J137)</f>
        <v>3.7095100000000003</v>
      </c>
      <c r="O137" s="109">
        <f aca="true" t="shared" si="55" ref="O137:O144">IF(OR(J137="",T137=""),"",J137)</f>
      </c>
      <c r="P137" s="109">
        <f aca="true" t="shared" si="56" ref="P137:P144">IF(OR(J137="",U137=""),"",J137)</f>
      </c>
      <c r="Q137" s="24">
        <f aca="true" t="shared" si="57" ref="Q137:Q144">IF(R137&gt;0,R137*((Q$6*(5280^2))/(3.2808^2))/(1000*(60*60*24)/(3.2808^3)),"")</f>
      </c>
      <c r="R137" s="22">
        <v>-0.04715592136231884</v>
      </c>
      <c r="S137" s="52">
        <v>0</v>
      </c>
      <c r="T137" s="69">
        <f aca="true" t="shared" si="58" ref="T137:T144">IF(OR(MONTH($A137)&lt;MONTH(T$4),MONTH($A137)&gt;MONTH(T$6)),"","***")</f>
      </c>
      <c r="U137" s="68">
        <f aca="true" t="shared" si="59" ref="U137:U144">IF(AND($R137&lt;U$6,$S137&lt;U$5),"","***")</f>
      </c>
      <c r="V137" s="62" t="str">
        <f t="shared" si="43"/>
        <v>***</v>
      </c>
      <c r="W137" s="47">
        <f aca="true" t="shared" si="60" ref="W137:W144">IF(E137="","",E137)</f>
        <v>41.800000000000004</v>
      </c>
      <c r="X137" s="47">
        <f aca="true" t="shared" si="61" ref="X137:X144">IF(V137="","",J137)</f>
        <v>3.7095100000000003</v>
      </c>
      <c r="Y137" s="56">
        <f t="shared" si="44"/>
      </c>
      <c r="Z137" s="56">
        <f t="shared" si="45"/>
      </c>
      <c r="AA137" s="56">
        <f t="shared" si="46"/>
        <v>3.7095100000000003</v>
      </c>
      <c r="AB137" s="56">
        <f t="shared" si="47"/>
      </c>
      <c r="AC137" s="56">
        <f t="shared" si="48"/>
      </c>
    </row>
    <row r="138" spans="1:29" ht="15">
      <c r="A138" s="82">
        <v>37333</v>
      </c>
      <c r="B138" s="83">
        <v>0.6736111111111112</v>
      </c>
      <c r="C138" s="37">
        <v>346</v>
      </c>
      <c r="D138" s="21">
        <v>0.31699999999999995</v>
      </c>
      <c r="E138" s="12">
        <f t="shared" si="49"/>
        <v>31.699999999999996</v>
      </c>
      <c r="F138" s="10">
        <v>33</v>
      </c>
      <c r="G138" s="10" t="s">
        <v>50</v>
      </c>
      <c r="H138" s="80">
        <v>5.9022</v>
      </c>
      <c r="I138" s="54">
        <v>0.1198</v>
      </c>
      <c r="J138" s="8">
        <f t="shared" si="50"/>
        <v>30.71442</v>
      </c>
      <c r="K138" s="7">
        <f t="shared" si="51"/>
      </c>
      <c r="L138" s="8">
        <f t="shared" si="52"/>
        <v>10986.827255999999</v>
      </c>
      <c r="M138" s="8">
        <f t="shared" si="53"/>
        <v>223.005304</v>
      </c>
      <c r="N138" s="109">
        <f t="shared" si="54"/>
        <v>30.71442</v>
      </c>
      <c r="O138" s="109">
        <f t="shared" si="55"/>
      </c>
      <c r="P138" s="109">
        <f t="shared" si="56"/>
      </c>
      <c r="Q138" s="24">
        <f t="shared" si="57"/>
      </c>
      <c r="R138" s="22">
        <v>-0.05780403263768116</v>
      </c>
      <c r="S138" s="52">
        <v>0.18497109826589594</v>
      </c>
      <c r="T138" s="69">
        <f t="shared" si="58"/>
      </c>
      <c r="U138" s="68">
        <f t="shared" si="59"/>
      </c>
      <c r="V138" s="62" t="str">
        <f t="shared" si="43"/>
        <v>***</v>
      </c>
      <c r="W138" s="47">
        <f t="shared" si="60"/>
        <v>31.699999999999996</v>
      </c>
      <c r="X138" s="47">
        <f t="shared" si="61"/>
        <v>30.71442</v>
      </c>
      <c r="Y138" s="56">
        <f t="shared" si="44"/>
      </c>
      <c r="Z138" s="56">
        <f t="shared" si="45"/>
        <v>30.71442</v>
      </c>
      <c r="AA138" s="56">
        <f t="shared" si="46"/>
      </c>
      <c r="AB138" s="56">
        <f t="shared" si="47"/>
      </c>
      <c r="AC138" s="56">
        <f t="shared" si="48"/>
      </c>
    </row>
    <row r="139" spans="1:29" ht="15">
      <c r="A139" s="82">
        <v>37361</v>
      </c>
      <c r="B139" s="83">
        <v>0.6666666666666666</v>
      </c>
      <c r="C139" s="37">
        <v>1400</v>
      </c>
      <c r="D139" s="21">
        <v>0.11099999999999999</v>
      </c>
      <c r="E139" s="12">
        <f t="shared" si="49"/>
        <v>11.099999999999998</v>
      </c>
      <c r="F139" s="10">
        <v>120</v>
      </c>
      <c r="G139" s="10" t="s">
        <v>50</v>
      </c>
      <c r="H139" s="80">
        <v>5.7464</v>
      </c>
      <c r="I139" s="54">
        <v>0.4534</v>
      </c>
      <c r="J139" s="8">
        <f t="shared" si="50"/>
        <v>451.92</v>
      </c>
      <c r="K139" s="7">
        <f t="shared" si="51"/>
      </c>
      <c r="L139" s="8">
        <f t="shared" si="52"/>
        <v>43281.88480000001</v>
      </c>
      <c r="M139" s="8">
        <f t="shared" si="53"/>
        <v>3415.0088</v>
      </c>
      <c r="N139" s="109">
        <f t="shared" si="54"/>
        <v>451.92</v>
      </c>
      <c r="O139" s="109">
        <f t="shared" si="55"/>
      </c>
      <c r="P139" s="109">
        <f t="shared" si="56"/>
      </c>
      <c r="Q139" s="24">
        <f t="shared" si="57"/>
        <v>40.00000000038451</v>
      </c>
      <c r="R139" s="22">
        <v>0.06084635014492753</v>
      </c>
      <c r="S139" s="52">
        <v>0.02857142857142857</v>
      </c>
      <c r="T139" s="69">
        <f t="shared" si="58"/>
      </c>
      <c r="U139" s="68">
        <f t="shared" si="59"/>
      </c>
      <c r="V139" s="62" t="str">
        <f t="shared" si="43"/>
        <v>***</v>
      </c>
      <c r="W139" s="47">
        <f t="shared" si="60"/>
        <v>11.099999999999998</v>
      </c>
      <c r="X139" s="47">
        <f t="shared" si="61"/>
        <v>451.92</v>
      </c>
      <c r="Y139" s="56">
        <f t="shared" si="44"/>
      </c>
      <c r="Z139" s="56">
        <f t="shared" si="45"/>
        <v>451.92</v>
      </c>
      <c r="AA139" s="56">
        <f t="shared" si="46"/>
      </c>
      <c r="AB139" s="56">
        <f t="shared" si="47"/>
      </c>
      <c r="AC139" s="56">
        <f t="shared" si="48"/>
      </c>
    </row>
    <row r="140" spans="1:29" ht="15">
      <c r="A140" s="82">
        <v>37396</v>
      </c>
      <c r="B140" s="83">
        <v>0.5833333333333334</v>
      </c>
      <c r="C140" s="37">
        <v>650</v>
      </c>
      <c r="D140" s="21">
        <v>0.215</v>
      </c>
      <c r="E140" s="12">
        <f t="shared" si="49"/>
        <v>21.5</v>
      </c>
      <c r="F140" s="10">
        <v>57</v>
      </c>
      <c r="G140" s="10" t="s">
        <v>50</v>
      </c>
      <c r="H140" s="80">
        <v>6.2</v>
      </c>
      <c r="I140" s="54">
        <v>0.24</v>
      </c>
      <c r="J140" s="8">
        <f t="shared" si="50"/>
        <v>99.6645</v>
      </c>
      <c r="K140" s="7">
        <f t="shared" si="51"/>
      </c>
      <c r="L140" s="8">
        <f t="shared" si="52"/>
        <v>21681.399999999998</v>
      </c>
      <c r="M140" s="8">
        <f t="shared" si="53"/>
        <v>839.28</v>
      </c>
      <c r="N140" s="109">
        <f t="shared" si="54"/>
        <v>99.6645</v>
      </c>
      <c r="O140" s="109">
        <f t="shared" si="55"/>
      </c>
      <c r="P140" s="109">
        <f t="shared" si="56"/>
        <v>99.6645</v>
      </c>
      <c r="Q140" s="24">
        <f t="shared" si="57"/>
      </c>
      <c r="R140" s="22">
        <v>-0.8822720771014492</v>
      </c>
      <c r="S140" s="52">
        <v>0.6815384615384615</v>
      </c>
      <c r="T140" s="69">
        <f t="shared" si="58"/>
      </c>
      <c r="U140" s="68" t="str">
        <f t="shared" si="59"/>
        <v>***</v>
      </c>
      <c r="V140" s="62" t="str">
        <f t="shared" si="43"/>
        <v>***</v>
      </c>
      <c r="W140" s="47">
        <f t="shared" si="60"/>
        <v>21.5</v>
      </c>
      <c r="X140" s="47">
        <f t="shared" si="61"/>
        <v>99.6645</v>
      </c>
      <c r="Y140" s="56">
        <f t="shared" si="44"/>
      </c>
      <c r="Z140" s="56">
        <f t="shared" si="45"/>
        <v>99.6645</v>
      </c>
      <c r="AA140" s="56">
        <f t="shared" si="46"/>
      </c>
      <c r="AB140" s="56">
        <f t="shared" si="47"/>
      </c>
      <c r="AC140" s="56">
        <f t="shared" si="48"/>
      </c>
    </row>
    <row r="141" spans="1:29" ht="15">
      <c r="A141" s="82">
        <v>37425</v>
      </c>
      <c r="B141" s="83">
        <v>0.4305555555555556</v>
      </c>
      <c r="C141" s="37">
        <v>86</v>
      </c>
      <c r="D141" s="21">
        <v>0.594</v>
      </c>
      <c r="E141" s="12">
        <f t="shared" si="49"/>
        <v>59.4</v>
      </c>
      <c r="F141" s="10">
        <v>96</v>
      </c>
      <c r="G141" s="10" t="s">
        <v>50</v>
      </c>
      <c r="H141" s="80">
        <v>2.3</v>
      </c>
      <c r="I141" s="54">
        <v>0.29</v>
      </c>
      <c r="J141" s="8">
        <f t="shared" si="50"/>
        <v>22.208640000000003</v>
      </c>
      <c r="K141" s="7">
        <f t="shared" si="51"/>
      </c>
      <c r="L141" s="8">
        <f t="shared" si="52"/>
        <v>1064.164</v>
      </c>
      <c r="M141" s="8">
        <f t="shared" si="53"/>
        <v>134.1772</v>
      </c>
      <c r="N141" s="109">
        <f t="shared" si="54"/>
        <v>22.208640000000003</v>
      </c>
      <c r="O141" s="109">
        <f t="shared" si="55"/>
        <v>22.208640000000003</v>
      </c>
      <c r="P141" s="109">
        <f t="shared" si="56"/>
      </c>
      <c r="Q141" s="24">
        <f t="shared" si="57"/>
      </c>
      <c r="R141" s="22">
        <v>-0.015211587536231882</v>
      </c>
      <c r="S141" s="52">
        <v>0.2558139534883721</v>
      </c>
      <c r="T141" s="69" t="str">
        <f t="shared" si="58"/>
        <v>***</v>
      </c>
      <c r="U141" s="68">
        <f t="shared" si="59"/>
      </c>
      <c r="V141" s="62" t="str">
        <f t="shared" si="43"/>
        <v>***</v>
      </c>
      <c r="W141" s="47">
        <f t="shared" si="60"/>
        <v>59.4</v>
      </c>
      <c r="X141" s="47">
        <f t="shared" si="61"/>
        <v>22.208640000000003</v>
      </c>
      <c r="Y141" s="56">
        <f t="shared" si="44"/>
      </c>
      <c r="Z141" s="56">
        <f t="shared" si="45"/>
      </c>
      <c r="AA141" s="56">
        <f t="shared" si="46"/>
        <v>22.208640000000003</v>
      </c>
      <c r="AB141" s="56">
        <f t="shared" si="47"/>
      </c>
      <c r="AC141" s="56">
        <f t="shared" si="48"/>
      </c>
    </row>
    <row r="142" spans="1:29" ht="15">
      <c r="A142" s="82">
        <v>37452</v>
      </c>
      <c r="B142" s="83">
        <v>0.6875</v>
      </c>
      <c r="C142" s="37">
        <v>28</v>
      </c>
      <c r="D142" s="21">
        <v>0.855</v>
      </c>
      <c r="E142" s="12">
        <f t="shared" si="49"/>
        <v>85.5</v>
      </c>
      <c r="F142" s="10">
        <v>82</v>
      </c>
      <c r="G142" s="10" t="s">
        <v>50</v>
      </c>
      <c r="H142" s="80">
        <v>0.1</v>
      </c>
      <c r="I142" s="54">
        <v>0.32</v>
      </c>
      <c r="J142" s="8">
        <f t="shared" si="50"/>
        <v>6.17624</v>
      </c>
      <c r="K142" s="7">
        <f t="shared" si="51"/>
      </c>
      <c r="L142" s="8">
        <f t="shared" si="52"/>
        <v>15.064000000000002</v>
      </c>
      <c r="M142" s="8">
        <f t="shared" si="53"/>
        <v>48.204800000000006</v>
      </c>
      <c r="N142" s="109">
        <f t="shared" si="54"/>
        <v>6.17624</v>
      </c>
      <c r="O142" s="109">
        <f t="shared" si="55"/>
        <v>6.17624</v>
      </c>
      <c r="P142" s="109">
        <f t="shared" si="56"/>
      </c>
      <c r="Q142" s="24">
        <f t="shared" si="57"/>
      </c>
      <c r="R142" s="22">
        <v>0</v>
      </c>
      <c r="S142" s="52">
        <v>0.14285714285714285</v>
      </c>
      <c r="T142" s="69" t="str">
        <f t="shared" si="58"/>
        <v>***</v>
      </c>
      <c r="U142" s="68">
        <f t="shared" si="59"/>
      </c>
      <c r="V142" s="62" t="str">
        <f t="shared" si="43"/>
        <v>***</v>
      </c>
      <c r="W142" s="47">
        <f t="shared" si="60"/>
        <v>85.5</v>
      </c>
      <c r="X142" s="47">
        <f t="shared" si="61"/>
        <v>6.17624</v>
      </c>
      <c r="Y142" s="56">
        <f t="shared" si="44"/>
      </c>
      <c r="Z142" s="56">
        <f t="shared" si="45"/>
      </c>
      <c r="AA142" s="56">
        <f t="shared" si="46"/>
      </c>
      <c r="AB142" s="56">
        <f t="shared" si="47"/>
        <v>6.17624</v>
      </c>
      <c r="AC142" s="56">
        <f t="shared" si="48"/>
      </c>
    </row>
    <row r="143" spans="1:29" ht="15">
      <c r="A143" s="82">
        <v>37487</v>
      </c>
      <c r="B143" s="83">
        <v>0.6597222222222222</v>
      </c>
      <c r="C143" s="37">
        <v>43</v>
      </c>
      <c r="D143" s="21">
        <v>0.745</v>
      </c>
      <c r="E143" s="12">
        <f t="shared" si="49"/>
        <v>74.5</v>
      </c>
      <c r="F143" s="10">
        <v>98</v>
      </c>
      <c r="G143" s="10" t="s">
        <v>50</v>
      </c>
      <c r="H143" s="80">
        <v>0.4</v>
      </c>
      <c r="I143" s="54">
        <v>0.28</v>
      </c>
      <c r="J143" s="8">
        <f t="shared" si="50"/>
        <v>11.33566</v>
      </c>
      <c r="K143" s="7">
        <f t="shared" si="51"/>
      </c>
      <c r="L143" s="8">
        <f t="shared" si="52"/>
        <v>92.536</v>
      </c>
      <c r="M143" s="8">
        <f t="shared" si="53"/>
        <v>64.7752</v>
      </c>
      <c r="N143" s="109">
        <f t="shared" si="54"/>
        <v>11.33566</v>
      </c>
      <c r="O143" s="109">
        <f t="shared" si="55"/>
        <v>11.33566</v>
      </c>
      <c r="P143" s="109">
        <f t="shared" si="56"/>
      </c>
      <c r="Q143" s="24">
        <f t="shared" si="57"/>
        <v>17.000000000163418</v>
      </c>
      <c r="R143" s="22">
        <v>0.025859698811594202</v>
      </c>
      <c r="S143" s="52">
        <v>0.3953488372093023</v>
      </c>
      <c r="T143" s="69" t="str">
        <f t="shared" si="58"/>
        <v>***</v>
      </c>
      <c r="U143" s="68">
        <f t="shared" si="59"/>
      </c>
      <c r="V143" s="62" t="str">
        <f t="shared" si="43"/>
        <v>***</v>
      </c>
      <c r="W143" s="47">
        <f t="shared" si="60"/>
        <v>74.5</v>
      </c>
      <c r="X143" s="47">
        <f t="shared" si="61"/>
        <v>11.33566</v>
      </c>
      <c r="Y143" s="56">
        <f t="shared" si="44"/>
      </c>
      <c r="Z143" s="56">
        <f t="shared" si="45"/>
      </c>
      <c r="AA143" s="56">
        <f t="shared" si="46"/>
      </c>
      <c r="AB143" s="56">
        <f t="shared" si="47"/>
        <v>11.33566</v>
      </c>
      <c r="AC143" s="56">
        <f t="shared" si="48"/>
      </c>
    </row>
    <row r="144" spans="1:29" ht="15">
      <c r="A144" s="82">
        <v>37515</v>
      </c>
      <c r="B144" s="83">
        <v>0.5590277777777778</v>
      </c>
      <c r="C144" s="37">
        <v>24</v>
      </c>
      <c r="D144" s="21">
        <v>0.899</v>
      </c>
      <c r="E144" s="12">
        <f t="shared" si="49"/>
        <v>89.9</v>
      </c>
      <c r="F144" s="10">
        <v>55</v>
      </c>
      <c r="G144" s="10" t="s">
        <v>50</v>
      </c>
      <c r="H144" s="80">
        <v>0.4</v>
      </c>
      <c r="I144" s="54">
        <v>0.2</v>
      </c>
      <c r="J144" s="8">
        <f t="shared" si="50"/>
        <v>3.5508</v>
      </c>
      <c r="K144" s="7">
        <f t="shared" si="51"/>
      </c>
      <c r="L144" s="8">
        <f t="shared" si="52"/>
        <v>51.648</v>
      </c>
      <c r="M144" s="8">
        <f t="shared" si="53"/>
        <v>25.824</v>
      </c>
      <c r="N144" s="109">
        <f t="shared" si="54"/>
        <v>3.5508</v>
      </c>
      <c r="O144" s="109">
        <f t="shared" si="55"/>
        <v>3.5508</v>
      </c>
      <c r="P144" s="109">
        <f t="shared" si="56"/>
      </c>
      <c r="Q144" s="24">
        <f t="shared" si="57"/>
      </c>
      <c r="R144" s="22">
        <v>0</v>
      </c>
      <c r="S144" s="52">
        <v>0</v>
      </c>
      <c r="T144" s="69" t="str">
        <f t="shared" si="58"/>
        <v>***</v>
      </c>
      <c r="U144" s="68">
        <f t="shared" si="59"/>
      </c>
      <c r="V144" s="62" t="str">
        <f t="shared" si="43"/>
        <v>***</v>
      </c>
      <c r="W144" s="47">
        <f t="shared" si="60"/>
        <v>89.9</v>
      </c>
      <c r="X144" s="47">
        <f t="shared" si="61"/>
        <v>3.5508</v>
      </c>
      <c r="Y144" s="56">
        <f t="shared" si="44"/>
      </c>
      <c r="Z144" s="56">
        <f t="shared" si="45"/>
      </c>
      <c r="AA144" s="56">
        <f t="shared" si="46"/>
      </c>
      <c r="AB144" s="56">
        <f t="shared" si="47"/>
        <v>3.5508</v>
      </c>
      <c r="AC144" s="56">
        <f t="shared" si="48"/>
      </c>
    </row>
  </sheetData>
  <mergeCells count="10">
    <mergeCell ref="A5:C5"/>
    <mergeCell ref="A3:C3"/>
    <mergeCell ref="A4:C4"/>
    <mergeCell ref="Q3:R3"/>
    <mergeCell ref="Q4:R4"/>
    <mergeCell ref="P3:P4"/>
    <mergeCell ref="A1:C1"/>
    <mergeCell ref="A2:C2"/>
    <mergeCell ref="D1:H1"/>
    <mergeCell ref="N2:P2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Cleland</dc:creator>
  <cp:keywords/>
  <dc:description/>
  <cp:lastModifiedBy>Bruce Cleland</cp:lastModifiedBy>
  <dcterms:created xsi:type="dcterms:W3CDTF">2002-02-05T19:35:58Z</dcterms:created>
  <dcterms:modified xsi:type="dcterms:W3CDTF">2003-10-21T00:13:02Z</dcterms:modified>
  <cp:category/>
  <cp:version/>
  <cp:contentType/>
  <cp:contentStatus/>
</cp:coreProperties>
</file>