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Mix optimization\Spec revision\"/>
    </mc:Choice>
  </mc:AlternateContent>
  <xr:revisionPtr revIDLastSave="0" documentId="13_ncr:1_{ED2D0D62-491B-4BE8-8403-EFFEB78BD0A6}" xr6:coauthVersionLast="46" xr6:coauthVersionMax="46" xr10:uidLastSave="{00000000-0000-0000-0000-000000000000}"/>
  <workbookProtection workbookAlgorithmName="SHA-512" workbookHashValue="6M1ADbdz5ysA47cCRxspHbUGCwm6amCA2Lop9WOzmYO+Th/y2RcUZGfXUHhtm+nXXkUn5ZLaVcL8UW9A/j9kwg==" workbookSaltValue="veEmHnciDuVheVje59a/bA==" workbookSpinCount="100000" lockStructure="1"/>
  <bookViews>
    <workbookView xWindow="49530" yWindow="1215" windowWidth="24795" windowHeight="16275" tabRatio="834" firstSheet="1" activeTab="1" xr2:uid="{00000000-000D-0000-FFFF-FFFF00000000}"/>
  </bookViews>
  <sheets>
    <sheet name="TRIAL BATCH WORKSHEET" sheetId="9" state="hidden" r:id="rId1"/>
    <sheet name="ITM-226 CCA check" sheetId="17" r:id="rId2"/>
  </sheets>
  <externalReferences>
    <externalReference r:id="rId3"/>
  </externalReferences>
  <definedNames>
    <definedName name="Admix">'[1]SM652 English'!$AQ$68:$BA$79</definedName>
    <definedName name="Admixsrc">'[1]SM652 English'!$A$200:$BX$347</definedName>
    <definedName name="Air">'[1]SM652 English'!$A$154:$AG$195</definedName>
    <definedName name="Calcium">'[1]SM652 English'!$A$350:$N$391</definedName>
    <definedName name="calmet">#REF!</definedName>
    <definedName name="CASrc">'[1]SM652 English'!$CP$62:$IS$90</definedName>
    <definedName name="Cement">'[1]SM652 English'!$AD$67:$AN$76</definedName>
    <definedName name="Cementsrc">'[1]SM652 English'!$A$125:$AC$153</definedName>
    <definedName name="Coarse">'[1]SM652 English'!$BC$61:$BM$86</definedName>
    <definedName name="Consrc">'[1]SM652 English'!$BQ$62:$CL$111</definedName>
    <definedName name="FASrc">'[1]SM652 English'!$CP$98:$EV$117</definedName>
    <definedName name="Fine">'[1]SM652 English'!$AQ$61:$BA$66</definedName>
    <definedName name="Miscagg">'[1]SM652 (ICC)'!$AK$131:$AW$145</definedName>
    <definedName name="Pozzolan">'[1]SM652 English'!$AD$61:$AN$66</definedName>
    <definedName name="Pozzsrc">'[1]SM652 English'!$A$90:$BA$124</definedName>
    <definedName name="_xlnm.Print_Area" localSheetId="0">'TRIAL BATCH WORKSHEET'!$A$1:$AC$124</definedName>
    <definedName name="VM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4" i="17" l="1"/>
  <c r="I34" i="17"/>
  <c r="F106" i="17" l="1"/>
  <c r="C106" i="17"/>
  <c r="F105" i="17"/>
  <c r="C105" i="17"/>
  <c r="F104" i="17"/>
  <c r="C104" i="17"/>
  <c r="F103" i="17"/>
  <c r="C103" i="17"/>
  <c r="F102" i="17"/>
  <c r="C102" i="17"/>
  <c r="F101" i="17"/>
  <c r="G102" i="17" s="1"/>
  <c r="C101" i="17"/>
  <c r="F100" i="17"/>
  <c r="C100" i="17"/>
  <c r="F99" i="17"/>
  <c r="C99" i="17"/>
  <c r="F98" i="17"/>
  <c r="C98" i="17"/>
  <c r="F97" i="17"/>
  <c r="C97" i="17"/>
  <c r="F96" i="17"/>
  <c r="C96" i="17"/>
  <c r="F95" i="17"/>
  <c r="C95" i="17"/>
  <c r="F94" i="17"/>
  <c r="G94" i="17" s="1"/>
  <c r="C94" i="17"/>
  <c r="F91" i="17"/>
  <c r="C91" i="17"/>
  <c r="F86" i="17"/>
  <c r="C86" i="17"/>
  <c r="F85" i="17"/>
  <c r="C85" i="17"/>
  <c r="F84" i="17"/>
  <c r="C84" i="17"/>
  <c r="F83" i="17"/>
  <c r="C83" i="17"/>
  <c r="F82" i="17"/>
  <c r="C82" i="17"/>
  <c r="F81" i="17"/>
  <c r="C81" i="17"/>
  <c r="F80" i="17"/>
  <c r="C80" i="17"/>
  <c r="F79" i="17"/>
  <c r="C79" i="17"/>
  <c r="F78" i="17"/>
  <c r="C78" i="17"/>
  <c r="F77" i="17"/>
  <c r="C77" i="17"/>
  <c r="F76" i="17"/>
  <c r="C76" i="17"/>
  <c r="F75" i="17"/>
  <c r="C75" i="17"/>
  <c r="F74" i="17"/>
  <c r="C74" i="17"/>
  <c r="F71" i="17"/>
  <c r="C71" i="17"/>
  <c r="F66" i="17"/>
  <c r="C66" i="17"/>
  <c r="F65" i="17"/>
  <c r="G66" i="17" s="1"/>
  <c r="C65" i="17"/>
  <c r="F64" i="17"/>
  <c r="C64" i="17"/>
  <c r="F63" i="17"/>
  <c r="C63" i="17"/>
  <c r="F62" i="17"/>
  <c r="C62" i="17"/>
  <c r="F61" i="17"/>
  <c r="C61" i="17"/>
  <c r="F60" i="17"/>
  <c r="C60" i="17"/>
  <c r="F59" i="17"/>
  <c r="C59" i="17"/>
  <c r="F58" i="17"/>
  <c r="C58" i="17"/>
  <c r="F57" i="17"/>
  <c r="C57" i="17"/>
  <c r="F56" i="17"/>
  <c r="C56" i="17"/>
  <c r="F55" i="17"/>
  <c r="C55" i="17"/>
  <c r="F54" i="17"/>
  <c r="C54" i="17"/>
  <c r="D54" i="17" s="1"/>
  <c r="F51" i="17"/>
  <c r="C51" i="17"/>
  <c r="F45" i="17"/>
  <c r="C45" i="17"/>
  <c r="F44" i="17"/>
  <c r="C44" i="17"/>
  <c r="F43" i="17"/>
  <c r="C43" i="17"/>
  <c r="F42" i="17"/>
  <c r="C42" i="17"/>
  <c r="F41" i="17"/>
  <c r="C41" i="17"/>
  <c r="F40" i="17"/>
  <c r="C40" i="17"/>
  <c r="F39" i="17"/>
  <c r="C39" i="17"/>
  <c r="F38" i="17"/>
  <c r="C38" i="17"/>
  <c r="F37" i="17"/>
  <c r="C37" i="17"/>
  <c r="F36" i="17"/>
  <c r="C36" i="17"/>
  <c r="F35" i="17"/>
  <c r="C35" i="17"/>
  <c r="F34" i="17"/>
  <c r="C34" i="17"/>
  <c r="F33" i="17"/>
  <c r="C33" i="17"/>
  <c r="F30" i="17"/>
  <c r="C30" i="17"/>
  <c r="F23" i="17"/>
  <c r="E23" i="17" s="1"/>
  <c r="F22" i="17"/>
  <c r="E22" i="17" s="1"/>
  <c r="F21" i="17"/>
  <c r="E21" i="17" s="1"/>
  <c r="F20" i="17"/>
  <c r="E20" i="17" s="1"/>
  <c r="F31" i="17" s="1"/>
  <c r="G98" i="17" l="1"/>
  <c r="I96" i="17"/>
  <c r="D43" i="17"/>
  <c r="D55" i="17"/>
  <c r="D60" i="17"/>
  <c r="E60" i="17" s="1"/>
  <c r="D78" i="17"/>
  <c r="D81" i="17"/>
  <c r="D103" i="17"/>
  <c r="I58" i="17"/>
  <c r="I62" i="17"/>
  <c r="I66" i="17"/>
  <c r="I60" i="17"/>
  <c r="I64" i="17"/>
  <c r="I59" i="17"/>
  <c r="I63" i="17"/>
  <c r="I56" i="17"/>
  <c r="I55" i="17"/>
  <c r="I78" i="17"/>
  <c r="I82" i="17"/>
  <c r="I86" i="17"/>
  <c r="I80" i="17"/>
  <c r="I84" i="17"/>
  <c r="I75" i="17"/>
  <c r="I79" i="17"/>
  <c r="I83" i="17"/>
  <c r="I76" i="17"/>
  <c r="I98" i="17"/>
  <c r="I102" i="17"/>
  <c r="I106" i="17"/>
  <c r="I100" i="17"/>
  <c r="I104" i="17"/>
  <c r="I95" i="17"/>
  <c r="I99" i="17"/>
  <c r="I103" i="17"/>
  <c r="I54" i="17"/>
  <c r="I77" i="17"/>
  <c r="I101" i="17"/>
  <c r="I65" i="17"/>
  <c r="I74" i="17"/>
  <c r="I97" i="17"/>
  <c r="I61" i="17"/>
  <c r="I85" i="17"/>
  <c r="I94" i="17"/>
  <c r="I57" i="17"/>
  <c r="I81" i="17"/>
  <c r="I105" i="17"/>
  <c r="D65" i="17"/>
  <c r="D75" i="17"/>
  <c r="D76" i="17"/>
  <c r="D95" i="17"/>
  <c r="D42" i="17"/>
  <c r="D57" i="17"/>
  <c r="G36" i="17"/>
  <c r="G40" i="17"/>
  <c r="G57" i="17"/>
  <c r="G65" i="17"/>
  <c r="G75" i="17"/>
  <c r="G79" i="17"/>
  <c r="G97" i="17"/>
  <c r="G101" i="17"/>
  <c r="D37" i="17"/>
  <c r="D59" i="17"/>
  <c r="G64" i="17"/>
  <c r="G78" i="17"/>
  <c r="G96" i="17"/>
  <c r="J96" i="17" s="1"/>
  <c r="G104" i="17"/>
  <c r="D36" i="17"/>
  <c r="D40" i="17"/>
  <c r="G45" i="17"/>
  <c r="G55" i="17"/>
  <c r="D58" i="17"/>
  <c r="G77" i="17"/>
  <c r="D80" i="17"/>
  <c r="E80" i="17" s="1"/>
  <c r="G81" i="17"/>
  <c r="J81" i="17" s="1"/>
  <c r="G99" i="17"/>
  <c r="D101" i="17"/>
  <c r="J101" i="17" s="1"/>
  <c r="G38" i="17"/>
  <c r="G56" i="17"/>
  <c r="G60" i="17"/>
  <c r="D63" i="17"/>
  <c r="G76" i="17"/>
  <c r="G84" i="17"/>
  <c r="I33" i="17"/>
  <c r="I41" i="17"/>
  <c r="D39" i="17"/>
  <c r="G42" i="17"/>
  <c r="G54" i="17"/>
  <c r="D62" i="17"/>
  <c r="G63" i="17"/>
  <c r="G80" i="17"/>
  <c r="G100" i="17"/>
  <c r="D105" i="17"/>
  <c r="I44" i="17"/>
  <c r="I40" i="17"/>
  <c r="I36" i="17"/>
  <c r="I35" i="17"/>
  <c r="I45" i="17"/>
  <c r="I37" i="17"/>
  <c r="D38" i="17"/>
  <c r="D44" i="17"/>
  <c r="G58" i="17"/>
  <c r="D74" i="17"/>
  <c r="D85" i="17"/>
  <c r="D96" i="17"/>
  <c r="D104" i="17"/>
  <c r="I43" i="17"/>
  <c r="I39" i="17"/>
  <c r="D34" i="17"/>
  <c r="G35" i="17"/>
  <c r="C31" i="17"/>
  <c r="M33" i="17" s="1"/>
  <c r="N33" i="17" s="1"/>
  <c r="G59" i="17"/>
  <c r="G82" i="17"/>
  <c r="D82" i="17"/>
  <c r="D83" i="17"/>
  <c r="D84" i="17"/>
  <c r="I42" i="17"/>
  <c r="I38" i="17"/>
  <c r="D33" i="17"/>
  <c r="G39" i="17"/>
  <c r="G44" i="17"/>
  <c r="G43" i="17"/>
  <c r="E55" i="17"/>
  <c r="F52" i="17"/>
  <c r="C52" i="17"/>
  <c r="M54" i="17" s="1"/>
  <c r="D35" i="17"/>
  <c r="D45" i="17"/>
  <c r="F92" i="17"/>
  <c r="C92" i="17"/>
  <c r="L96" i="17" s="1"/>
  <c r="F72" i="17"/>
  <c r="C72" i="17"/>
  <c r="G34" i="17"/>
  <c r="M34" i="17" s="1"/>
  <c r="G33" i="17"/>
  <c r="G41" i="17"/>
  <c r="G62" i="17"/>
  <c r="G61" i="17"/>
  <c r="G37" i="17"/>
  <c r="D41" i="17"/>
  <c r="D77" i="17"/>
  <c r="D98" i="17"/>
  <c r="J98" i="17" s="1"/>
  <c r="D56" i="17"/>
  <c r="D61" i="17"/>
  <c r="G86" i="17"/>
  <c r="G85" i="17"/>
  <c r="D97" i="17"/>
  <c r="D100" i="17"/>
  <c r="G106" i="17"/>
  <c r="G105" i="17"/>
  <c r="G83" i="17"/>
  <c r="D86" i="17"/>
  <c r="G103" i="17"/>
  <c r="J103" i="17" s="1"/>
  <c r="D106" i="17"/>
  <c r="D64" i="17"/>
  <c r="D79" i="17"/>
  <c r="D99" i="17"/>
  <c r="D66" i="17"/>
  <c r="J66" i="17" s="1"/>
  <c r="G95" i="17"/>
  <c r="D102" i="17"/>
  <c r="J102" i="17" s="1"/>
  <c r="G74" i="17"/>
  <c r="D94" i="17"/>
  <c r="J94" i="17" s="1"/>
  <c r="J99" i="17" l="1"/>
  <c r="J55" i="17"/>
  <c r="M55" i="17"/>
  <c r="J77" i="17"/>
  <c r="J62" i="17"/>
  <c r="J65" i="17"/>
  <c r="J59" i="17"/>
  <c r="J40" i="17"/>
  <c r="E40" i="17"/>
  <c r="J86" i="17"/>
  <c r="J64" i="17"/>
  <c r="J97" i="17"/>
  <c r="J100" i="17"/>
  <c r="J42" i="17"/>
  <c r="J106" i="17"/>
  <c r="J85" i="17"/>
  <c r="J38" i="17"/>
  <c r="J57" i="17"/>
  <c r="J79" i="17"/>
  <c r="J61" i="17"/>
  <c r="J74" i="17"/>
  <c r="J60" i="17"/>
  <c r="J84" i="17"/>
  <c r="J43" i="17"/>
  <c r="J83" i="17"/>
  <c r="J105" i="17"/>
  <c r="J63" i="17"/>
  <c r="J78" i="17"/>
  <c r="J75" i="17"/>
  <c r="J95" i="17"/>
  <c r="J56" i="17"/>
  <c r="K57" i="17" s="1"/>
  <c r="H60" i="17"/>
  <c r="J76" i="17"/>
  <c r="E81" i="17"/>
  <c r="J104" i="17"/>
  <c r="H55" i="17"/>
  <c r="J58" i="17"/>
  <c r="M97" i="17"/>
  <c r="M101" i="17"/>
  <c r="M105" i="17"/>
  <c r="M94" i="17"/>
  <c r="L100" i="17"/>
  <c r="L104" i="17"/>
  <c r="L95" i="17"/>
  <c r="M99" i="17"/>
  <c r="M103" i="17"/>
  <c r="M96" i="17"/>
  <c r="L98" i="17"/>
  <c r="L102" i="17"/>
  <c r="L106" i="17"/>
  <c r="M104" i="17"/>
  <c r="L99" i="17"/>
  <c r="L103" i="17"/>
  <c r="M98" i="17"/>
  <c r="M102" i="17"/>
  <c r="M106" i="17"/>
  <c r="L97" i="17"/>
  <c r="L101" i="17"/>
  <c r="L105" i="17"/>
  <c r="L94" i="17"/>
  <c r="M100" i="17"/>
  <c r="M95" i="17"/>
  <c r="J80" i="17"/>
  <c r="E82" i="17"/>
  <c r="J36" i="17"/>
  <c r="J54" i="17"/>
  <c r="H65" i="17"/>
  <c r="E42" i="17"/>
  <c r="M77" i="17"/>
  <c r="M81" i="17"/>
  <c r="M85" i="17"/>
  <c r="M74" i="17"/>
  <c r="L80" i="17"/>
  <c r="L84" i="17"/>
  <c r="L75" i="17"/>
  <c r="M79" i="17"/>
  <c r="M83" i="17"/>
  <c r="M76" i="17"/>
  <c r="L78" i="17"/>
  <c r="L82" i="17"/>
  <c r="L86" i="17"/>
  <c r="M78" i="17"/>
  <c r="M82" i="17"/>
  <c r="M86" i="17"/>
  <c r="L77" i="17"/>
  <c r="L81" i="17"/>
  <c r="L85" i="17"/>
  <c r="L74" i="17"/>
  <c r="M75" i="17"/>
  <c r="L79" i="17"/>
  <c r="M80" i="17"/>
  <c r="L83" i="17"/>
  <c r="M84" i="17"/>
  <c r="L76" i="17"/>
  <c r="M57" i="17"/>
  <c r="M61" i="17"/>
  <c r="M65" i="17"/>
  <c r="L59" i="17"/>
  <c r="L63" i="17"/>
  <c r="M56" i="17"/>
  <c r="L55" i="17"/>
  <c r="M63" i="17"/>
  <c r="L57" i="17"/>
  <c r="L65" i="17"/>
  <c r="M58" i="17"/>
  <c r="M62" i="17"/>
  <c r="M66" i="17"/>
  <c r="L60" i="17"/>
  <c r="L64" i="17"/>
  <c r="L54" i="17"/>
  <c r="M59" i="17"/>
  <c r="L61" i="17"/>
  <c r="M64" i="17"/>
  <c r="L56" i="17"/>
  <c r="L58" i="17"/>
  <c r="L62" i="17"/>
  <c r="M60" i="17"/>
  <c r="L66" i="17"/>
  <c r="J37" i="17"/>
  <c r="E39" i="17"/>
  <c r="J39" i="17"/>
  <c r="J44" i="17"/>
  <c r="J82" i="17"/>
  <c r="H61" i="17"/>
  <c r="J33" i="17"/>
  <c r="K33" i="17" s="1"/>
  <c r="E77" i="17"/>
  <c r="H59" i="17"/>
  <c r="H63" i="17"/>
  <c r="H62" i="17"/>
  <c r="H57" i="17"/>
  <c r="J45" i="17"/>
  <c r="J41" i="17"/>
  <c r="E59" i="17"/>
  <c r="J35" i="17"/>
  <c r="E62" i="17"/>
  <c r="E75" i="17"/>
  <c r="E83" i="17"/>
  <c r="H64" i="17"/>
  <c r="H103" i="17"/>
  <c r="E79" i="17"/>
  <c r="E84" i="17"/>
  <c r="E85" i="17"/>
  <c r="M36" i="17"/>
  <c r="M40" i="17"/>
  <c r="M44" i="17"/>
  <c r="L38" i="17"/>
  <c r="L42" i="17"/>
  <c r="L35" i="17"/>
  <c r="M37" i="17"/>
  <c r="M41" i="17"/>
  <c r="M45" i="17"/>
  <c r="L39" i="17"/>
  <c r="L43" i="17"/>
  <c r="M35" i="17"/>
  <c r="L34" i="17"/>
  <c r="M43" i="17"/>
  <c r="L41" i="17"/>
  <c r="M38" i="17"/>
  <c r="M42" i="17"/>
  <c r="L36" i="17"/>
  <c r="L40" i="17"/>
  <c r="L44" i="17"/>
  <c r="L33" i="17"/>
  <c r="M39" i="17"/>
  <c r="L37" i="17"/>
  <c r="L45" i="17"/>
  <c r="H85" i="17"/>
  <c r="H83" i="17"/>
  <c r="H81" i="17"/>
  <c r="H79" i="17"/>
  <c r="H84" i="17"/>
  <c r="H82" i="17"/>
  <c r="H80" i="17"/>
  <c r="H77" i="17"/>
  <c r="H75" i="17"/>
  <c r="H104" i="17"/>
  <c r="H105" i="17"/>
  <c r="H99" i="17"/>
  <c r="E41" i="17"/>
  <c r="E43" i="17"/>
  <c r="E65" i="17"/>
  <c r="E57" i="17"/>
  <c r="H100" i="17"/>
  <c r="H95" i="17"/>
  <c r="H43" i="17"/>
  <c r="H41" i="17"/>
  <c r="H39" i="17"/>
  <c r="H40" i="17"/>
  <c r="H36" i="17"/>
  <c r="H42" i="17"/>
  <c r="H38" i="17"/>
  <c r="H34" i="17"/>
  <c r="H44" i="17"/>
  <c r="H97" i="17"/>
  <c r="H101" i="17"/>
  <c r="E99" i="17"/>
  <c r="E97" i="17"/>
  <c r="E95" i="17"/>
  <c r="E105" i="17"/>
  <c r="E103" i="17"/>
  <c r="E101" i="17"/>
  <c r="E100" i="17"/>
  <c r="E104" i="17"/>
  <c r="E102" i="17"/>
  <c r="H102" i="17"/>
  <c r="E44" i="17"/>
  <c r="E61" i="17"/>
  <c r="K54" i="17"/>
  <c r="K55" i="17"/>
  <c r="E63" i="17"/>
  <c r="E64" i="17"/>
  <c r="E36" i="17"/>
  <c r="E34" i="17"/>
  <c r="E38" i="17"/>
  <c r="H68" i="17" l="1"/>
  <c r="Q21" i="17"/>
  <c r="K35" i="17"/>
  <c r="E88" i="17"/>
  <c r="E16" i="17" s="1"/>
  <c r="Q11" i="17"/>
  <c r="Q4" i="17"/>
  <c r="N45" i="17"/>
  <c r="Q6" i="17"/>
  <c r="Q14" i="17"/>
  <c r="K34" i="17"/>
  <c r="K60" i="17"/>
  <c r="K59" i="17"/>
  <c r="Q9" i="17"/>
  <c r="K56" i="17"/>
  <c r="K66" i="17"/>
  <c r="K64" i="17"/>
  <c r="Q19" i="17"/>
  <c r="E68" i="17"/>
  <c r="K58" i="17"/>
  <c r="K62" i="17"/>
  <c r="K43" i="17"/>
  <c r="K41" i="17"/>
  <c r="K39" i="17"/>
  <c r="K37" i="17"/>
  <c r="K44" i="17"/>
  <c r="K42" i="17"/>
  <c r="K45" i="17"/>
  <c r="K36" i="17"/>
  <c r="K38" i="17"/>
  <c r="K40" i="17"/>
  <c r="N39" i="17"/>
  <c r="H88" i="17"/>
  <c r="N34" i="17"/>
  <c r="N40" i="17"/>
  <c r="N43" i="17"/>
  <c r="K105" i="17"/>
  <c r="K103" i="17"/>
  <c r="K101" i="17"/>
  <c r="K99" i="17"/>
  <c r="K106" i="17"/>
  <c r="K97" i="17"/>
  <c r="K98" i="17"/>
  <c r="K95" i="17"/>
  <c r="K94" i="17"/>
  <c r="K104" i="17"/>
  <c r="K96" i="17"/>
  <c r="K100" i="17"/>
  <c r="K102" i="17"/>
  <c r="N44" i="17"/>
  <c r="E47" i="17"/>
  <c r="D16" i="17" s="1"/>
  <c r="K85" i="17"/>
  <c r="K83" i="17"/>
  <c r="K81" i="17"/>
  <c r="K79" i="17"/>
  <c r="K74" i="17"/>
  <c r="K86" i="17"/>
  <c r="K77" i="17"/>
  <c r="K78" i="17"/>
  <c r="K84" i="17"/>
  <c r="K76" i="17"/>
  <c r="K80" i="17"/>
  <c r="K75" i="17"/>
  <c r="K82" i="17"/>
  <c r="N96" i="17"/>
  <c r="N95" i="17"/>
  <c r="N105" i="17"/>
  <c r="N103" i="17"/>
  <c r="N101" i="17"/>
  <c r="N99" i="17"/>
  <c r="N106" i="17"/>
  <c r="N104" i="17"/>
  <c r="N102" i="17"/>
  <c r="N94" i="17"/>
  <c r="N98" i="17"/>
  <c r="N100" i="17"/>
  <c r="N97" i="17"/>
  <c r="E108" i="17"/>
  <c r="H47" i="17"/>
  <c r="C16" i="17" s="1"/>
  <c r="Q16" i="17"/>
  <c r="N36" i="17"/>
  <c r="N35" i="17"/>
  <c r="N41" i="17"/>
  <c r="K63" i="17"/>
  <c r="K61" i="17"/>
  <c r="H108" i="17"/>
  <c r="N66" i="17"/>
  <c r="N64" i="17"/>
  <c r="N62" i="17"/>
  <c r="N65" i="17"/>
  <c r="N56" i="17"/>
  <c r="N63" i="17"/>
  <c r="N61" i="17"/>
  <c r="N59" i="17"/>
  <c r="N54" i="17"/>
  <c r="N60" i="17"/>
  <c r="N57" i="17"/>
  <c r="N55" i="17"/>
  <c r="N58" i="17"/>
  <c r="K65" i="17"/>
  <c r="N76" i="17"/>
  <c r="N85" i="17"/>
  <c r="N83" i="17"/>
  <c r="N81" i="17"/>
  <c r="N79" i="17"/>
  <c r="N74" i="17"/>
  <c r="N86" i="17"/>
  <c r="N84" i="17"/>
  <c r="N82" i="17"/>
  <c r="N80" i="17"/>
  <c r="N77" i="17"/>
  <c r="N78" i="17"/>
  <c r="N75" i="17"/>
  <c r="N38" i="17"/>
  <c r="N42" i="17"/>
  <c r="N37" i="17"/>
  <c r="K47" i="17" l="1"/>
  <c r="K68" i="17"/>
  <c r="K108" i="17"/>
  <c r="K88" i="17"/>
  <c r="T112" i="9" l="1"/>
  <c r="T109" i="9"/>
  <c r="T106" i="9"/>
  <c r="T103" i="9"/>
  <c r="T100" i="9"/>
  <c r="T97" i="9"/>
  <c r="K112" i="9"/>
  <c r="K109" i="9"/>
  <c r="K106" i="9"/>
  <c r="K103" i="9"/>
  <c r="K100" i="9"/>
  <c r="K97" i="9"/>
  <c r="W30" i="9" l="1"/>
  <c r="W32" i="9"/>
  <c r="Q30" i="9"/>
  <c r="Q32" i="9"/>
  <c r="H18" i="9"/>
  <c r="H15" i="9"/>
  <c r="O15" i="9" s="1"/>
  <c r="V15" i="9" s="1"/>
  <c r="O30" i="9"/>
  <c r="O32" i="9"/>
  <c r="M30" i="9"/>
  <c r="M32" i="9"/>
  <c r="D54" i="9"/>
  <c r="D56" i="9"/>
  <c r="D52" i="9"/>
  <c r="D53" i="9"/>
  <c r="H21" i="9"/>
  <c r="O21" i="9" s="1"/>
  <c r="V21" i="9" s="1"/>
  <c r="Y30" i="9"/>
  <c r="Y33" i="9" s="1"/>
  <c r="V16" i="9" s="1"/>
  <c r="Y32" i="9"/>
  <c r="AA30" i="9"/>
  <c r="AA32" i="9"/>
  <c r="AC30" i="9"/>
  <c r="AC32" i="9"/>
  <c r="S30" i="9"/>
  <c r="S32" i="9"/>
  <c r="U30" i="9"/>
  <c r="U33" i="9" s="1"/>
  <c r="O19" i="9" s="1"/>
  <c r="U32" i="9"/>
  <c r="H20" i="9"/>
  <c r="O20" i="9" s="1"/>
  <c r="V20" i="9" s="1"/>
  <c r="H17" i="9"/>
  <c r="O17" i="9" s="1"/>
  <c r="V17" i="9" s="1"/>
  <c r="H14" i="9"/>
  <c r="O14" i="9" s="1"/>
  <c r="V14" i="9" s="1"/>
  <c r="T84" i="9"/>
  <c r="N84" i="9"/>
  <c r="H84" i="9"/>
  <c r="T57" i="9"/>
  <c r="T83" i="9"/>
  <c r="T85" i="9" s="1"/>
  <c r="N83" i="9"/>
  <c r="N85" i="9"/>
  <c r="H83" i="9"/>
  <c r="H85" i="9" s="1"/>
  <c r="D47" i="9"/>
  <c r="I47" i="9" s="1"/>
  <c r="Q47" i="9" s="1"/>
  <c r="D48" i="9"/>
  <c r="I48" i="9" s="1"/>
  <c r="D49" i="9"/>
  <c r="I49" i="9" s="1"/>
  <c r="D50" i="9"/>
  <c r="D51" i="9"/>
  <c r="I51" i="9" s="1"/>
  <c r="D55" i="9"/>
  <c r="I55" i="9" s="1"/>
  <c r="N56" i="9"/>
  <c r="N55" i="9"/>
  <c r="N54" i="9"/>
  <c r="N53" i="9"/>
  <c r="N52" i="9"/>
  <c r="T87" i="9"/>
  <c r="T88" i="9" s="1"/>
  <c r="N48" i="9"/>
  <c r="N51" i="9" s="1"/>
  <c r="N49" i="9"/>
  <c r="N50" i="9"/>
  <c r="U66" i="9"/>
  <c r="B66" i="9"/>
  <c r="B65" i="9"/>
  <c r="B64" i="9"/>
  <c r="B63" i="9"/>
  <c r="P2" i="9"/>
  <c r="J2" i="9"/>
  <c r="N87" i="9"/>
  <c r="N88" i="9" s="1"/>
  <c r="H87" i="9"/>
  <c r="H88" i="9" s="1"/>
  <c r="B78" i="9"/>
  <c r="F4" i="9"/>
  <c r="A55" i="9"/>
  <c r="U65" i="9"/>
  <c r="U64" i="9"/>
  <c r="U63" i="9"/>
  <c r="AA33" i="9" l="1"/>
  <c r="V19" i="9" s="1"/>
  <c r="I50" i="9"/>
  <c r="Q50" i="9" s="1"/>
  <c r="W50" i="9" s="1"/>
  <c r="T90" i="9"/>
  <c r="N90" i="9"/>
  <c r="Q33" i="9"/>
  <c r="H22" i="9" s="1"/>
  <c r="I54" i="9" s="1"/>
  <c r="Q39" i="9" s="1"/>
  <c r="AC33" i="9"/>
  <c r="V22" i="9" s="1"/>
  <c r="M33" i="9"/>
  <c r="H16" i="9" s="1"/>
  <c r="I52" i="9" s="1"/>
  <c r="G39" i="9" s="1"/>
  <c r="W33" i="9"/>
  <c r="O22" i="9" s="1"/>
  <c r="Q49" i="9"/>
  <c r="W49" i="9" s="1"/>
  <c r="Q55" i="9"/>
  <c r="O33" i="9"/>
  <c r="H19" i="9" s="1"/>
  <c r="I53" i="9" s="1"/>
  <c r="I39" i="9" s="1"/>
  <c r="W51" i="9"/>
  <c r="H90" i="9"/>
  <c r="S33" i="9"/>
  <c r="O16" i="9" s="1"/>
  <c r="Q51" i="9"/>
  <c r="Q48" i="9"/>
  <c r="O18" i="9"/>
  <c r="V18" i="9" s="1"/>
  <c r="T80" i="9" s="1"/>
  <c r="W47" i="9"/>
  <c r="D57" i="9"/>
  <c r="H80" i="9" l="1"/>
  <c r="O66" i="9"/>
  <c r="W48" i="9"/>
  <c r="S39" i="9"/>
  <c r="M39" i="9"/>
  <c r="O65" i="9"/>
  <c r="Q54" i="9"/>
  <c r="W54" i="9" s="1"/>
  <c r="W39" i="9"/>
  <c r="K39" i="9"/>
  <c r="N80" i="9"/>
  <c r="U39" i="9"/>
  <c r="I56" i="9"/>
  <c r="Q56" i="9" s="1"/>
  <c r="W56" i="9" s="1"/>
  <c r="Q53" i="9"/>
  <c r="W53" i="9" s="1"/>
  <c r="Q52" i="9"/>
  <c r="O64" i="9"/>
  <c r="O63" i="9"/>
  <c r="O39" i="9"/>
  <c r="Q57" i="9" l="1"/>
  <c r="I57" i="9"/>
  <c r="W52" i="9"/>
</calcChain>
</file>

<file path=xl/sharedStrings.xml><?xml version="1.0" encoding="utf-8"?>
<sst xmlns="http://schemas.openxmlformats.org/spreadsheetml/2006/main" count="450" uniqueCount="174">
  <si>
    <t>lbs</t>
  </si>
  <si>
    <t>Contractor</t>
  </si>
  <si>
    <t>Cement</t>
  </si>
  <si>
    <t>Fly Ash</t>
  </si>
  <si>
    <t>FA</t>
  </si>
  <si>
    <t>Date:</t>
  </si>
  <si>
    <t>Plant No.</t>
  </si>
  <si>
    <t>Location:</t>
  </si>
  <si>
    <t>Batching &amp; Mixing Equipment:</t>
  </si>
  <si>
    <t>INDOT CMD No.</t>
  </si>
  <si>
    <t>Name(s) of Contractor's Certified Technician and ACI Grade 1 Certification Number:</t>
  </si>
  <si>
    <t>Name(s) of INDOT Qualified Technician &amp; Submitter Nos.</t>
  </si>
  <si>
    <t>AGGREGATE TEST RESULTS</t>
  </si>
  <si>
    <t>Properties</t>
  </si>
  <si>
    <t>ACI Certified</t>
  </si>
  <si>
    <t>INDOT</t>
  </si>
  <si>
    <t>INDOT Qual.</t>
  </si>
  <si>
    <t>Result</t>
  </si>
  <si>
    <t>Technician</t>
  </si>
  <si>
    <t>FA Bulk Sp. Gr. (SSD)</t>
  </si>
  <si>
    <t>NA</t>
  </si>
  <si>
    <t>CA Bulk Sp. Gr. (SSD)</t>
  </si>
  <si>
    <t>Agg. Correction Factor</t>
  </si>
  <si>
    <t>CONCRETE BATCHING</t>
  </si>
  <si>
    <t>Total</t>
  </si>
  <si>
    <t>Design Batch</t>
  </si>
  <si>
    <t>Target Batch</t>
  </si>
  <si>
    <t>Target</t>
  </si>
  <si>
    <t>Actual</t>
  </si>
  <si>
    <t>Batching</t>
  </si>
  <si>
    <t>Materials</t>
  </si>
  <si>
    <t>Weights</t>
  </si>
  <si>
    <t>Batch</t>
  </si>
  <si>
    <t>Error</t>
  </si>
  <si>
    <t>(SSD Aggregate)</t>
  </si>
  <si>
    <t>(Moist Aggregates)</t>
  </si>
  <si>
    <t>Size</t>
  </si>
  <si>
    <t>yd³</t>
  </si>
  <si>
    <t>± %</t>
  </si>
  <si>
    <t>Water</t>
  </si>
  <si>
    <t>Σ</t>
  </si>
  <si>
    <t>Total Req.</t>
  </si>
  <si>
    <t>Admixture Name</t>
  </si>
  <si>
    <t>Dosage</t>
  </si>
  <si>
    <t>fl oz/cwt</t>
  </si>
  <si>
    <t>fl oz</t>
  </si>
  <si>
    <t>Comments on Batching:</t>
  </si>
  <si>
    <t xml:space="preserve">Certifed </t>
  </si>
  <si>
    <t xml:space="preserve">of ACI </t>
  </si>
  <si>
    <t>Qualified</t>
  </si>
  <si>
    <t xml:space="preserve">of INDOT </t>
  </si>
  <si>
    <t>Plastic Property</t>
  </si>
  <si>
    <t>Certified</t>
  </si>
  <si>
    <t>Results</t>
  </si>
  <si>
    <t>Water/Cementious</t>
  </si>
  <si>
    <t>Air Content (%)</t>
  </si>
  <si>
    <t>Slump (inches)</t>
  </si>
  <si>
    <t>Relative Yield</t>
  </si>
  <si>
    <t>Contractor's</t>
  </si>
  <si>
    <t>INDOT Qualified</t>
  </si>
  <si>
    <t>Age</t>
  </si>
  <si>
    <t>Lab Result</t>
  </si>
  <si>
    <t>of</t>
  </si>
  <si>
    <t>Techician Result</t>
  </si>
  <si>
    <t>psi</t>
  </si>
  <si>
    <t>Specimen</t>
  </si>
  <si>
    <t>Average</t>
  </si>
  <si>
    <t>Comments on Test Results:</t>
  </si>
  <si>
    <t>Allowable</t>
  </si>
  <si>
    <t>±1.49</t>
  </si>
  <si>
    <t>±2.49</t>
  </si>
  <si>
    <t>±3.49</t>
  </si>
  <si>
    <t>Last Name</t>
  </si>
  <si>
    <t>Last Name of</t>
  </si>
  <si>
    <t>ADMIXTURE DOSAGE</t>
  </si>
  <si>
    <t>FA Absorption, %</t>
  </si>
  <si>
    <t>FA Moisture, %</t>
  </si>
  <si>
    <t>CA Absorption, %</t>
  </si>
  <si>
    <t>CA Moisture, %</t>
  </si>
  <si>
    <t>Unit Wt. (pcf)</t>
  </si>
  <si>
    <t>A</t>
  </si>
  <si>
    <t>B</t>
  </si>
  <si>
    <t>C</t>
  </si>
  <si>
    <t>D</t>
  </si>
  <si>
    <t>E</t>
  </si>
  <si>
    <t>F</t>
  </si>
  <si>
    <t>Silica Fume</t>
  </si>
  <si>
    <t>bucket wt.</t>
  </si>
  <si>
    <t>concrete wt</t>
  </si>
  <si>
    <t>Concrete/Bucket wt.</t>
  </si>
  <si>
    <t>CA #1</t>
  </si>
  <si>
    <t>CA #2</t>
  </si>
  <si>
    <t>CA #2 Bulk Sp. Gr. (SSD)</t>
  </si>
  <si>
    <t>CA #2 Absorption, %</t>
  </si>
  <si>
    <t>CA #2 Moisture, %</t>
  </si>
  <si>
    <t>TRIAL BATCH WORKSHEET</t>
  </si>
  <si>
    <t>Adjust Air Content %</t>
  </si>
  <si>
    <t>Aggregate</t>
  </si>
  <si>
    <t>Fibers</t>
  </si>
  <si>
    <t>STRENGTH TEST RESULTS                                                (BREAK SCHEDULE DETERMINED BY SPECIFICATION)</t>
  </si>
  <si>
    <t>Sieve size</t>
  </si>
  <si>
    <t>% Passing</t>
  </si>
  <si>
    <t>Individual % Retained</t>
  </si>
  <si>
    <t>% of total agg by wt</t>
  </si>
  <si>
    <t>% of total agg by vol</t>
  </si>
  <si>
    <t>Fineness Mod =</t>
  </si>
  <si>
    <t>Cumul. % Retained</t>
  </si>
  <si>
    <t>Min</t>
  </si>
  <si>
    <t>Max</t>
  </si>
  <si>
    <t>Coarse Sand % (#8 - #30)</t>
  </si>
  <si>
    <t>Fine Sand (#30 - #200)</t>
  </si>
  <si>
    <t xml:space="preserve">15% (slipformed) </t>
  </si>
  <si>
    <t xml:space="preserve">20% (non-slipformed) </t>
  </si>
  <si>
    <t>minimum:</t>
  </si>
  <si>
    <t>range:</t>
  </si>
  <si>
    <t>24% - 34% (slipformed)</t>
  </si>
  <si>
    <t>25% - 40% (non-slipformed)</t>
  </si>
  <si>
    <t>Tarantuala</t>
  </si>
  <si>
    <t>PLASTIC CONCRETE TEST RESULTS</t>
  </si>
  <si>
    <t>IA</t>
  </si>
  <si>
    <t>Procedure</t>
  </si>
  <si>
    <t>Method</t>
  </si>
  <si>
    <t>Weight of wet sample &amp; pan, 0.01 lbs.</t>
  </si>
  <si>
    <t>Weigh</t>
  </si>
  <si>
    <t>Weight of dried sample &amp; pan, 0.01 lbs.</t>
  </si>
  <si>
    <t>Weight of water in sample, 0.01 lbs.</t>
  </si>
  <si>
    <t>A-B</t>
  </si>
  <si>
    <t>Weight of pan, 0.01 lbs.</t>
  </si>
  <si>
    <t>Weight of dried sample, 0.01 lbs.</t>
  </si>
  <si>
    <t>B-D</t>
  </si>
  <si>
    <t>Percent Moisture, 0.01%</t>
  </si>
  <si>
    <t>(C / E) x 100</t>
  </si>
  <si>
    <t>Construction</t>
  </si>
  <si>
    <t>I.A.</t>
  </si>
  <si>
    <t>AGGREGATE MOISTURE RESULTS</t>
  </si>
  <si>
    <t>Fine</t>
  </si>
  <si>
    <t>AGGREGATE CORRECTION FACTOR WEIGHTS BASED ON CONTRACTOR MOISTURES</t>
  </si>
  <si>
    <t>EXAMPLE  0.249</t>
  </si>
  <si>
    <t>WEIGHT (lbs)</t>
  </si>
  <si>
    <t>CA#2</t>
  </si>
  <si>
    <t>CA#1</t>
  </si>
  <si>
    <t>Bucket Volume  (example 0.249)</t>
  </si>
  <si>
    <t>BUCKET VOLUME</t>
  </si>
  <si>
    <t>v10.4.7</t>
  </si>
  <si>
    <t>Slag Cement</t>
  </si>
  <si>
    <t>Combined          
(by weight)</t>
  </si>
  <si>
    <t>Combined         
 (by Volume)</t>
  </si>
  <si>
    <t>1" (25mm)</t>
  </si>
  <si>
    <t>3/4" (19mm)</t>
  </si>
  <si>
    <t>2" (50 mm)</t>
  </si>
  <si>
    <t>1/2" (12.5mm)</t>
  </si>
  <si>
    <t>3/8" (9.5mm)</t>
  </si>
  <si>
    <t>#4 (4.75mm)</t>
  </si>
  <si>
    <t>#8 (2.36mm)</t>
  </si>
  <si>
    <t>#16 (1.18mm)</t>
  </si>
  <si>
    <t>#30 (600um)</t>
  </si>
  <si>
    <t>#50 (300um)</t>
  </si>
  <si>
    <t>#100 (150um)</t>
  </si>
  <si>
    <t>#200 (75um)</t>
  </si>
  <si>
    <t>1.5" (37.5mm)</t>
  </si>
  <si>
    <t>FA (fine)</t>
  </si>
  <si>
    <t>FA (coarse)</t>
  </si>
  <si>
    <t>Fineness Modulus</t>
  </si>
  <si>
    <t>Specific Gravity</t>
  </si>
  <si>
    <t>FA % (fine) min</t>
  </si>
  <si>
    <t>FA % (fine) max</t>
  </si>
  <si>
    <t>FA % (coarse) min</t>
  </si>
  <si>
    <t>FA % (coarse) max</t>
  </si>
  <si>
    <t>CA-1</t>
  </si>
  <si>
    <t>FA 
(fine)
(% passing)</t>
  </si>
  <si>
    <t>FA
(coarse)
(% passing)</t>
  </si>
  <si>
    <t>Proposed     CCA
(% passing)</t>
  </si>
  <si>
    <t>CCA</t>
  </si>
  <si>
    <t>ITM-226 CCA Validation - Ver 1.0 6-27-21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</si>
</sst>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%"/>
    <numFmt numFmtId="168" formatCode="0;;;@"/>
    <numFmt numFmtId="169" formatCode="0.00;;;@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7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sz val="9.5"/>
      <name val="Arial"/>
      <family val="2"/>
    </font>
    <font>
      <sz val="8"/>
      <color rgb="FF000000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1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4659260841701"/>
        <bgColor indexed="64"/>
      </patternFill>
    </fill>
  </fills>
  <borders count="6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7" fillId="0" borderId="0"/>
    <xf numFmtId="0" fontId="1" fillId="0" borderId="0"/>
    <xf numFmtId="43" fontId="1" fillId="0" borderId="0" applyFont="0" applyFill="0" applyBorder="0" applyAlignment="0" applyProtection="0"/>
  </cellStyleXfs>
  <cellXfs count="517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4" fillId="0" borderId="0" xfId="0" applyFont="1"/>
    <xf numFmtId="0" fontId="0" fillId="0" borderId="0" xfId="0" applyBorder="1" applyAlignment="1" applyProtection="1">
      <alignment horizontal="center"/>
    </xf>
    <xf numFmtId="0" fontId="4" fillId="0" borderId="3" xfId="0" applyFont="1" applyBorder="1" applyAlignment="1" applyProtection="1"/>
    <xf numFmtId="0" fontId="4" fillId="0" borderId="4" xfId="0" applyFont="1" applyBorder="1" applyAlignment="1" applyProtection="1"/>
    <xf numFmtId="0" fontId="4" fillId="0" borderId="5" xfId="0" applyFont="1" applyBorder="1" applyAlignment="1" applyProtection="1"/>
    <xf numFmtId="0" fontId="0" fillId="0" borderId="0" xfId="0" applyProtection="1"/>
    <xf numFmtId="0" fontId="0" fillId="0" borderId="6" xfId="0" applyBorder="1" applyAlignment="1" applyProtection="1"/>
    <xf numFmtId="0" fontId="0" fillId="0" borderId="0" xfId="0" applyBorder="1" applyAlignment="1" applyProtection="1"/>
    <xf numFmtId="0" fontId="0" fillId="0" borderId="7" xfId="0" applyBorder="1" applyAlignment="1" applyProtection="1"/>
    <xf numFmtId="0" fontId="0" fillId="0" borderId="6" xfId="0" applyBorder="1" applyProtection="1"/>
    <xf numFmtId="0" fontId="0" fillId="0" borderId="0" xfId="0" applyBorder="1" applyProtection="1"/>
    <xf numFmtId="0" fontId="0" fillId="0" borderId="1" xfId="0" applyBorder="1" applyProtection="1"/>
    <xf numFmtId="0" fontId="5" fillId="0" borderId="0" xfId="0" applyFont="1" applyAlignment="1" applyProtection="1"/>
    <xf numFmtId="0" fontId="0" fillId="0" borderId="4" xfId="0" applyBorder="1" applyProtection="1"/>
    <xf numFmtId="0" fontId="0" fillId="0" borderId="8" xfId="0" applyBorder="1" applyProtection="1"/>
    <xf numFmtId="0" fontId="0" fillId="0" borderId="5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0" xfId="0" applyBorder="1" applyAlignment="1" applyProtection="1">
      <protection locked="0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 applyProtection="1">
      <alignment horizontal="center"/>
    </xf>
    <xf numFmtId="0" fontId="1" fillId="0" borderId="0" xfId="0" applyFont="1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center"/>
    </xf>
    <xf numFmtId="0" fontId="0" fillId="0" borderId="0" xfId="0" applyNumberFormat="1" applyBorder="1" applyAlignment="1" applyProtection="1">
      <alignment horizontal="center"/>
    </xf>
    <xf numFmtId="0" fontId="0" fillId="0" borderId="7" xfId="0" applyBorder="1" applyAlignment="1"/>
    <xf numFmtId="0" fontId="0" fillId="0" borderId="9" xfId="0" applyBorder="1" applyAlignment="1"/>
    <xf numFmtId="0" fontId="1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8" fillId="0" borderId="0" xfId="0" applyFont="1"/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/>
    <xf numFmtId="0" fontId="2" fillId="0" borderId="17" xfId="0" applyFont="1" applyBorder="1" applyAlignment="1" applyProtection="1">
      <alignment vertical="center"/>
    </xf>
    <xf numFmtId="0" fontId="19" fillId="0" borderId="17" xfId="3" applyFont="1" applyBorder="1" applyAlignment="1" applyProtection="1">
      <alignment vertical="center"/>
    </xf>
    <xf numFmtId="0" fontId="1" fillId="0" borderId="0" xfId="3" applyFont="1" applyBorder="1" applyAlignment="1" applyProtection="1">
      <alignment horizontal="center"/>
    </xf>
    <xf numFmtId="0" fontId="19" fillId="0" borderId="0" xfId="3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" fillId="0" borderId="0" xfId="3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2" fontId="17" fillId="0" borderId="0" xfId="3" applyNumberFormat="1" applyBorder="1" applyAlignment="1">
      <alignment horizontal="center"/>
    </xf>
    <xf numFmtId="0" fontId="1" fillId="0" borderId="0" xfId="3" applyFont="1" applyBorder="1" applyAlignment="1" applyProtection="1">
      <alignment horizontal="center"/>
    </xf>
    <xf numFmtId="2" fontId="17" fillId="0" borderId="0" xfId="3" applyNumberForma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1" fillId="0" borderId="40" xfId="3" applyFont="1" applyBorder="1" applyAlignment="1" applyProtection="1">
      <alignment horizontal="center"/>
    </xf>
    <xf numFmtId="2" fontId="17" fillId="6" borderId="39" xfId="3" applyNumberFormat="1" applyFill="1" applyBorder="1" applyAlignment="1" applyProtection="1">
      <alignment horizontal="center"/>
      <protection locked="0"/>
    </xf>
    <xf numFmtId="2" fontId="17" fillId="0" borderId="39" xfId="3" applyNumberFormat="1" applyBorder="1" applyAlignment="1">
      <alignment horizontal="center"/>
    </xf>
    <xf numFmtId="0" fontId="1" fillId="0" borderId="42" xfId="3" applyFont="1" applyBorder="1" applyAlignment="1" applyProtection="1">
      <alignment horizontal="center"/>
    </xf>
    <xf numFmtId="0" fontId="19" fillId="0" borderId="21" xfId="3" applyFont="1" applyBorder="1" applyAlignment="1" applyProtection="1">
      <alignment vertical="center"/>
    </xf>
    <xf numFmtId="2" fontId="17" fillId="0" borderId="47" xfId="3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8" borderId="0" xfId="0" applyFill="1"/>
    <xf numFmtId="0" fontId="4" fillId="8" borderId="0" xfId="0" applyFont="1" applyFill="1"/>
    <xf numFmtId="0" fontId="0" fillId="8" borderId="0" xfId="0" applyFill="1" applyBorder="1" applyAlignment="1"/>
    <xf numFmtId="0" fontId="0" fillId="8" borderId="0" xfId="0" applyFill="1" applyBorder="1" applyAlignment="1" applyProtection="1">
      <alignment horizontal="center"/>
      <protection locked="0"/>
    </xf>
    <xf numFmtId="0" fontId="0" fillId="8" borderId="0" xfId="0" applyFill="1" applyBorder="1"/>
    <xf numFmtId="0" fontId="0" fillId="8" borderId="0" xfId="0" applyFill="1" applyBorder="1" applyAlignment="1">
      <alignment horizontal="center"/>
    </xf>
    <xf numFmtId="0" fontId="0" fillId="8" borderId="0" xfId="0" applyFill="1" applyAlignment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6" fillId="0" borderId="6" xfId="0" applyFont="1" applyBorder="1" applyAlignment="1" applyProtection="1">
      <alignment horizontal="right" vertical="center"/>
    </xf>
    <xf numFmtId="0" fontId="13" fillId="2" borderId="52" xfId="0" applyFont="1" applyFill="1" applyBorder="1" applyAlignment="1" applyProtection="1">
      <alignment horizontal="center" vertical="center"/>
    </xf>
    <xf numFmtId="0" fontId="13" fillId="2" borderId="25" xfId="0" applyFont="1" applyFill="1" applyBorder="1" applyAlignment="1" applyProtection="1">
      <alignment horizontal="center" vertical="center"/>
    </xf>
    <xf numFmtId="0" fontId="14" fillId="2" borderId="10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 wrapText="1"/>
    </xf>
    <xf numFmtId="0" fontId="3" fillId="2" borderId="55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wrapText="1"/>
    </xf>
    <xf numFmtId="0" fontId="13" fillId="2" borderId="6" xfId="0" applyFont="1" applyFill="1" applyBorder="1" applyAlignment="1" applyProtection="1">
      <alignment horizontal="center" vertical="center"/>
    </xf>
    <xf numFmtId="165" fontId="0" fillId="10" borderId="6" xfId="0" applyNumberFormat="1" applyFill="1" applyBorder="1" applyAlignment="1" applyProtection="1">
      <alignment horizontal="center" vertical="center"/>
    </xf>
    <xf numFmtId="165" fontId="0" fillId="4" borderId="0" xfId="0" applyNumberFormat="1" applyFill="1" applyBorder="1" applyAlignment="1" applyProtection="1">
      <alignment horizontal="center" vertical="center"/>
    </xf>
    <xf numFmtId="165" fontId="0" fillId="3" borderId="6" xfId="0" applyNumberFormat="1" applyFill="1" applyBorder="1" applyAlignment="1" applyProtection="1">
      <alignment horizontal="center" vertical="center"/>
    </xf>
    <xf numFmtId="165" fontId="0" fillId="4" borderId="53" xfId="0" applyNumberFormat="1" applyFill="1" applyBorder="1" applyAlignment="1" applyProtection="1">
      <alignment horizontal="center" vertical="center"/>
    </xf>
    <xf numFmtId="165" fontId="0" fillId="4" borderId="1" xfId="0" applyNumberFormat="1" applyFill="1" applyBorder="1" applyAlignment="1" applyProtection="1">
      <alignment horizontal="center" vertical="center"/>
    </xf>
    <xf numFmtId="165" fontId="0" fillId="4" borderId="9" xfId="0" applyNumberFormat="1" applyFill="1" applyBorder="1" applyAlignment="1" applyProtection="1">
      <alignment horizontal="center" vertical="center"/>
    </xf>
    <xf numFmtId="165" fontId="0" fillId="4" borderId="7" xfId="0" applyNumberFormat="1" applyFill="1" applyBorder="1" applyAlignment="1" applyProtection="1">
      <alignment horizontal="center" vertical="center"/>
    </xf>
    <xf numFmtId="0" fontId="13" fillId="9" borderId="6" xfId="0" applyFont="1" applyFill="1" applyBorder="1" applyAlignment="1" applyProtection="1">
      <alignment horizontal="center" vertical="center"/>
    </xf>
    <xf numFmtId="165" fontId="0" fillId="4" borderId="54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165" fontId="0" fillId="10" borderId="10" xfId="0" applyNumberFormat="1" applyFill="1" applyBorder="1" applyAlignment="1" applyProtection="1">
      <alignment horizontal="center" vertical="center"/>
    </xf>
    <xf numFmtId="165" fontId="0" fillId="4" borderId="11" xfId="0" applyNumberFormat="1" applyFill="1" applyBorder="1" applyAlignment="1" applyProtection="1">
      <alignment horizontal="center" vertical="center"/>
    </xf>
    <xf numFmtId="165" fontId="0" fillId="3" borderId="10" xfId="0" applyNumberFormat="1" applyFill="1" applyBorder="1" applyAlignment="1" applyProtection="1">
      <alignment horizontal="center" vertical="center"/>
    </xf>
    <xf numFmtId="165" fontId="0" fillId="4" borderId="55" xfId="0" applyNumberFormat="1" applyFill="1" applyBorder="1" applyAlignment="1" applyProtection="1">
      <alignment horizontal="center" vertical="center"/>
    </xf>
    <xf numFmtId="165" fontId="0" fillId="4" borderId="38" xfId="0" applyNumberFormat="1" applyFill="1" applyBorder="1" applyAlignment="1" applyProtection="1">
      <alignment horizontal="center" vertical="center"/>
    </xf>
    <xf numFmtId="165" fontId="0" fillId="4" borderId="24" xfId="0" applyNumberFormat="1" applyFill="1" applyBorder="1" applyAlignment="1" applyProtection="1">
      <alignment horizontal="center" vertical="center"/>
    </xf>
    <xf numFmtId="165" fontId="0" fillId="4" borderId="12" xfId="0" applyNumberForma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right"/>
    </xf>
    <xf numFmtId="2" fontId="3" fillId="4" borderId="0" xfId="0" applyNumberFormat="1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/>
    </xf>
    <xf numFmtId="2" fontId="3" fillId="4" borderId="1" xfId="0" applyNumberFormat="1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16" fillId="0" borderId="3" xfId="0" applyFont="1" applyBorder="1" applyAlignment="1" applyProtection="1">
      <alignment horizontal="right" vertical="center"/>
    </xf>
    <xf numFmtId="165" fontId="0" fillId="11" borderId="6" xfId="0" applyNumberFormat="1" applyFill="1" applyBorder="1" applyAlignment="1" applyProtection="1">
      <alignment horizontal="center" vertical="center"/>
    </xf>
    <xf numFmtId="165" fontId="0" fillId="4" borderId="4" xfId="0" applyNumberFormat="1" applyFill="1" applyBorder="1" applyAlignment="1" applyProtection="1">
      <alignment horizontal="center" vertical="center"/>
    </xf>
    <xf numFmtId="165" fontId="0" fillId="11" borderId="10" xfId="0" applyNumberFormat="1" applyFill="1" applyBorder="1" applyAlignment="1" applyProtection="1">
      <alignment horizontal="center" vertical="center"/>
    </xf>
    <xf numFmtId="16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/>
    <xf numFmtId="0" fontId="0" fillId="0" borderId="0" xfId="0" applyBorder="1" applyAlignment="1">
      <alignment horizontal="center" vertical="center"/>
    </xf>
    <xf numFmtId="165" fontId="0" fillId="12" borderId="7" xfId="0" applyNumberFormat="1" applyFill="1" applyBorder="1" applyAlignment="1" applyProtection="1">
      <alignment horizontal="center" vertical="center"/>
    </xf>
    <xf numFmtId="0" fontId="22" fillId="8" borderId="57" xfId="0" applyFont="1" applyFill="1" applyBorder="1" applyAlignment="1" applyProtection="1">
      <alignment horizontal="center" vertical="center"/>
      <protection locked="0"/>
    </xf>
    <xf numFmtId="0" fontId="22" fillId="8" borderId="59" xfId="0" applyFont="1" applyFill="1" applyBorder="1" applyAlignment="1" applyProtection="1">
      <alignment horizontal="center" vertical="center"/>
      <protection locked="0"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4" fillId="2" borderId="44" xfId="0" applyFont="1" applyFill="1" applyBorder="1" applyAlignment="1" applyProtection="1">
      <alignment horizontal="center" vertical="center"/>
    </xf>
    <xf numFmtId="0" fontId="21" fillId="5" borderId="58" xfId="0" applyFont="1" applyFill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3" fillId="0" borderId="46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13" fillId="2" borderId="9" xfId="0" applyFont="1" applyFill="1" applyBorder="1" applyAlignment="1" applyProtection="1">
      <alignment horizontal="center" vertical="center"/>
    </xf>
    <xf numFmtId="0" fontId="1" fillId="10" borderId="0" xfId="0" applyFont="1" applyFill="1" applyBorder="1" applyAlignment="1" applyProtection="1">
      <alignment horizontal="center" vertical="center"/>
    </xf>
    <xf numFmtId="0" fontId="0" fillId="11" borderId="1" xfId="0" applyFill="1" applyBorder="1" applyAlignment="1" applyProtection="1">
      <alignment horizontal="center" vertical="center"/>
    </xf>
    <xf numFmtId="0" fontId="21" fillId="5" borderId="11" xfId="0" applyFont="1" applyFill="1" applyBorder="1" applyProtection="1"/>
    <xf numFmtId="0" fontId="20" fillId="5" borderId="0" xfId="0" applyFont="1" applyFill="1" applyProtection="1"/>
    <xf numFmtId="0" fontId="13" fillId="9" borderId="9" xfId="0" applyFont="1" applyFill="1" applyBorder="1" applyAlignment="1" applyProtection="1">
      <alignment horizontal="center" vertical="center"/>
    </xf>
    <xf numFmtId="0" fontId="13" fillId="0" borderId="3" xfId="0" applyFont="1" applyBorder="1" applyProtection="1"/>
    <xf numFmtId="0" fontId="13" fillId="0" borderId="4" xfId="0" applyFont="1" applyBorder="1" applyAlignment="1" applyProtection="1">
      <alignment horizontal="right"/>
    </xf>
    <xf numFmtId="1" fontId="13" fillId="10" borderId="4" xfId="0" applyNumberFormat="1" applyFont="1" applyFill="1" applyBorder="1" applyAlignment="1" applyProtection="1">
      <alignment horizontal="center"/>
    </xf>
    <xf numFmtId="0" fontId="13" fillId="0" borderId="4" xfId="0" applyFont="1" applyBorder="1" applyAlignment="1" applyProtection="1"/>
    <xf numFmtId="0" fontId="13" fillId="0" borderId="9" xfId="0" applyFont="1" applyFill="1" applyBorder="1" applyAlignment="1" applyProtection="1">
      <alignment horizontal="center" vertical="center"/>
    </xf>
    <xf numFmtId="0" fontId="13" fillId="0" borderId="10" xfId="0" applyFont="1" applyBorder="1" applyProtection="1"/>
    <xf numFmtId="0" fontId="13" fillId="0" borderId="11" xfId="0" applyFont="1" applyBorder="1" applyAlignment="1" applyProtection="1">
      <alignment horizontal="right"/>
    </xf>
    <xf numFmtId="1" fontId="14" fillId="0" borderId="11" xfId="0" applyNumberFormat="1" applyFont="1" applyFill="1" applyBorder="1" applyAlignment="1" applyProtection="1">
      <alignment horizontal="center"/>
    </xf>
    <xf numFmtId="0" fontId="13" fillId="0" borderId="11" xfId="0" applyFont="1" applyBorder="1" applyAlignment="1" applyProtection="1"/>
    <xf numFmtId="0" fontId="13" fillId="0" borderId="6" xfId="0" applyFont="1" applyBorder="1" applyProtection="1"/>
    <xf numFmtId="1" fontId="13" fillId="10" borderId="0" xfId="0" applyNumberFormat="1" applyFont="1" applyFill="1" applyBorder="1" applyAlignment="1" applyProtection="1">
      <alignment horizontal="center"/>
    </xf>
    <xf numFmtId="0" fontId="13" fillId="0" borderId="0" xfId="0" applyFont="1" applyBorder="1" applyAlignment="1" applyProtection="1"/>
    <xf numFmtId="0" fontId="21" fillId="5" borderId="17" xfId="0" applyFont="1" applyFill="1" applyBorder="1" applyProtection="1"/>
    <xf numFmtId="1" fontId="13" fillId="0" borderId="11" xfId="0" applyNumberFormat="1" applyFont="1" applyFill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1" fontId="13" fillId="11" borderId="4" xfId="0" applyNumberFormat="1" applyFont="1" applyFill="1" applyBorder="1" applyAlignment="1" applyProtection="1">
      <alignment horizontal="center"/>
    </xf>
    <xf numFmtId="0" fontId="13" fillId="0" borderId="24" xfId="0" applyFont="1" applyFill="1" applyBorder="1" applyAlignment="1" applyProtection="1">
      <alignment horizontal="center" vertical="center"/>
    </xf>
    <xf numFmtId="0" fontId="1" fillId="10" borderId="11" xfId="0" applyFont="1" applyFill="1" applyBorder="1" applyAlignment="1" applyProtection="1">
      <alignment horizontal="center" vertical="center"/>
    </xf>
    <xf numFmtId="0" fontId="0" fillId="11" borderId="38" xfId="0" applyFill="1" applyBorder="1" applyAlignment="1" applyProtection="1">
      <alignment horizontal="center" vertical="center"/>
    </xf>
    <xf numFmtId="0" fontId="13" fillId="9" borderId="15" xfId="0" applyFont="1" applyFill="1" applyBorder="1" applyAlignment="1" applyProtection="1">
      <alignment horizontal="center" vertical="center"/>
    </xf>
    <xf numFmtId="0" fontId="3" fillId="9" borderId="36" xfId="0" applyFont="1" applyFill="1" applyBorder="1" applyAlignment="1" applyProtection="1">
      <alignment horizontal="center" vertical="center"/>
    </xf>
    <xf numFmtId="2" fontId="3" fillId="9" borderId="36" xfId="0" applyNumberFormat="1" applyFont="1" applyFill="1" applyBorder="1" applyAlignment="1" applyProtection="1">
      <alignment horizontal="center" vertical="center"/>
    </xf>
    <xf numFmtId="2" fontId="3" fillId="9" borderId="56" xfId="0" applyNumberFormat="1" applyFont="1" applyFill="1" applyBorder="1" applyAlignment="1" applyProtection="1">
      <alignment horizontal="center" vertical="center"/>
    </xf>
    <xf numFmtId="1" fontId="13" fillId="11" borderId="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14" fillId="0" borderId="13" xfId="0" applyFont="1" applyFill="1" applyBorder="1" applyAlignment="1" applyProtection="1">
      <alignment horizontal="center" vertical="center"/>
    </xf>
    <xf numFmtId="0" fontId="1" fillId="10" borderId="49" xfId="0" applyFont="1" applyFill="1" applyBorder="1" applyAlignment="1" applyProtection="1">
      <alignment horizontal="center" vertical="center"/>
    </xf>
    <xf numFmtId="0" fontId="0" fillId="11" borderId="50" xfId="0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1" fillId="0" borderId="3" xfId="0" applyFont="1" applyBorder="1" applyProtection="1"/>
    <xf numFmtId="167" fontId="1" fillId="0" borderId="5" xfId="0" applyNumberFormat="1" applyFont="1" applyFill="1" applyBorder="1" applyAlignment="1" applyProtection="1">
      <alignment horizontal="center" vertical="center"/>
    </xf>
    <xf numFmtId="1" fontId="20" fillId="0" borderId="0" xfId="0" applyNumberFormat="1" applyFont="1" applyAlignment="1" applyProtection="1">
      <alignment horizontal="center" vertical="center"/>
    </xf>
    <xf numFmtId="0" fontId="1" fillId="0" borderId="10" xfId="0" applyFont="1" applyBorder="1" applyProtection="1"/>
    <xf numFmtId="167" fontId="1" fillId="0" borderId="12" xfId="0" applyNumberFormat="1" applyFont="1" applyFill="1" applyBorder="1" applyAlignment="1" applyProtection="1">
      <alignment horizontal="center" vertical="center"/>
    </xf>
    <xf numFmtId="0" fontId="1" fillId="0" borderId="6" xfId="0" applyFont="1" applyBorder="1" applyProtection="1"/>
    <xf numFmtId="167" fontId="1" fillId="0" borderId="7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Protection="1"/>
    <xf numFmtId="1" fontId="0" fillId="0" borderId="0" xfId="0" applyNumberForma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14" fillId="0" borderId="11" xfId="0" applyFont="1" applyBorder="1" applyAlignment="1" applyProtection="1">
      <alignment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vertical="center"/>
    </xf>
    <xf numFmtId="0" fontId="3" fillId="0" borderId="0" xfId="0" applyFont="1" applyProtection="1"/>
    <xf numFmtId="165" fontId="0" fillId="0" borderId="0" xfId="0" applyNumberFormat="1" applyAlignment="1" applyProtection="1">
      <alignment horizontal="center"/>
    </xf>
    <xf numFmtId="0" fontId="1" fillId="0" borderId="0" xfId="0" applyFont="1" applyProtection="1"/>
    <xf numFmtId="1" fontId="0" fillId="0" borderId="0" xfId="0" applyNumberFormat="1" applyAlignment="1" applyProtection="1">
      <alignment horizontal="center"/>
    </xf>
    <xf numFmtId="0" fontId="0" fillId="0" borderId="0" xfId="0" applyFill="1" applyBorder="1" applyProtection="1"/>
    <xf numFmtId="0" fontId="1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165" fontId="0" fillId="0" borderId="0" xfId="0" applyNumberFormat="1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right"/>
    </xf>
    <xf numFmtId="2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vertical="center"/>
    </xf>
    <xf numFmtId="165" fontId="3" fillId="0" borderId="0" xfId="0" applyNumberFormat="1" applyFont="1" applyBorder="1" applyAlignment="1" applyProtection="1">
      <alignment horizontal="center" vertical="center"/>
    </xf>
    <xf numFmtId="0" fontId="0" fillId="0" borderId="0" xfId="0" applyFill="1" applyProtection="1"/>
    <xf numFmtId="0" fontId="3" fillId="0" borderId="0" xfId="0" applyFont="1" applyBorder="1" applyAlignment="1" applyProtection="1">
      <alignment horizontal="right"/>
    </xf>
    <xf numFmtId="0" fontId="5" fillId="0" borderId="24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0" fillId="0" borderId="11" xfId="0" applyBorder="1" applyAlignment="1"/>
    <xf numFmtId="2" fontId="0" fillId="0" borderId="17" xfId="0" applyNumberFormat="1" applyFill="1" applyBorder="1" applyAlignment="1" applyProtection="1">
      <alignment horizontal="center"/>
    </xf>
    <xf numFmtId="2" fontId="0" fillId="0" borderId="18" xfId="0" applyNumberFormat="1" applyFill="1" applyBorder="1" applyAlignment="1" applyProtection="1">
      <alignment horizontal="center"/>
    </xf>
    <xf numFmtId="0" fontId="0" fillId="3" borderId="31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164" fontId="0" fillId="0" borderId="31" xfId="0" applyNumberFormat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2" fontId="0" fillId="0" borderId="31" xfId="0" applyNumberForma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0" fontId="0" fillId="3" borderId="18" xfId="0" applyFill="1" applyBorder="1" applyAlignment="1" applyProtection="1">
      <alignment horizontal="center"/>
      <protection locked="0"/>
    </xf>
    <xf numFmtId="164" fontId="0" fillId="3" borderId="31" xfId="0" applyNumberFormat="1" applyFill="1" applyBorder="1" applyAlignment="1" applyProtection="1">
      <alignment horizontal="center"/>
      <protection locked="0"/>
    </xf>
    <xf numFmtId="164" fontId="0" fillId="3" borderId="17" xfId="0" applyNumberFormat="1" applyFill="1" applyBorder="1" applyAlignment="1" applyProtection="1">
      <alignment horizontal="center"/>
      <protection locked="0"/>
    </xf>
    <xf numFmtId="164" fontId="0" fillId="3" borderId="18" xfId="0" applyNumberForma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164" fontId="0" fillId="0" borderId="17" xfId="0" applyNumberFormat="1" applyBorder="1" applyAlignment="1" applyProtection="1">
      <alignment horizontal="center"/>
    </xf>
    <xf numFmtId="164" fontId="0" fillId="0" borderId="18" xfId="0" applyNumberFormat="1" applyBorder="1" applyAlignment="1" applyProtection="1">
      <alignment horizontal="center"/>
    </xf>
    <xf numFmtId="166" fontId="0" fillId="0" borderId="31" xfId="0" applyNumberFormat="1" applyFill="1" applyBorder="1" applyAlignment="1" applyProtection="1">
      <alignment horizontal="center"/>
    </xf>
    <xf numFmtId="166" fontId="0" fillId="0" borderId="17" xfId="0" applyNumberFormat="1" applyFill="1" applyBorder="1" applyAlignment="1" applyProtection="1">
      <alignment horizontal="center"/>
    </xf>
    <xf numFmtId="166" fontId="0" fillId="0" borderId="18" xfId="0" applyNumberFormat="1" applyFill="1" applyBorder="1" applyAlignment="1" applyProtection="1">
      <alignment horizontal="center"/>
    </xf>
    <xf numFmtId="2" fontId="0" fillId="0" borderId="17" xfId="0" applyNumberFormat="1" applyBorder="1" applyAlignment="1" applyProtection="1">
      <alignment horizontal="center"/>
    </xf>
    <xf numFmtId="2" fontId="0" fillId="0" borderId="18" xfId="0" applyNumberFormat="1" applyBorder="1" applyAlignment="1" applyProtection="1">
      <alignment horizontal="center"/>
    </xf>
    <xf numFmtId="1" fontId="0" fillId="3" borderId="31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</xf>
    <xf numFmtId="1" fontId="0" fillId="0" borderId="17" xfId="0" applyNumberFormat="1" applyBorder="1" applyAlignment="1" applyProtection="1">
      <alignment horizontal="center"/>
    </xf>
    <xf numFmtId="1" fontId="0" fillId="0" borderId="18" xfId="0" applyNumberForma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2" fontId="17" fillId="0" borderId="31" xfId="3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17" fillId="0" borderId="29" xfId="3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17" fillId="6" borderId="31" xfId="3" applyNumberForma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165" fontId="0" fillId="0" borderId="31" xfId="0" applyNumberFormat="1" applyBorder="1" applyAlignment="1" applyProtection="1">
      <alignment horizontal="center"/>
    </xf>
    <xf numFmtId="165" fontId="0" fillId="0" borderId="17" xfId="0" applyNumberFormat="1" applyBorder="1" applyAlignment="1" applyProtection="1">
      <alignment horizontal="center"/>
    </xf>
    <xf numFmtId="165" fontId="0" fillId="0" borderId="18" xfId="0" applyNumberFormat="1" applyBorder="1" applyAlignment="1" applyProtection="1">
      <alignment horizontal="center"/>
    </xf>
    <xf numFmtId="2" fontId="0" fillId="3" borderId="31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164" fontId="0" fillId="0" borderId="29" xfId="0" applyNumberFormat="1" applyBorder="1" applyAlignment="1" applyProtection="1">
      <alignment horizontal="center"/>
    </xf>
    <xf numFmtId="164" fontId="0" fillId="0" borderId="21" xfId="0" applyNumberFormat="1" applyBorder="1" applyAlignment="1" applyProtection="1">
      <alignment horizontal="center"/>
    </xf>
    <xf numFmtId="164" fontId="0" fillId="0" borderId="22" xfId="0" applyNumberFormat="1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5" fillId="0" borderId="2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3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165" fontId="0" fillId="3" borderId="31" xfId="0" applyNumberFormat="1" applyFill="1" applyBorder="1" applyAlignment="1" applyProtection="1">
      <alignment horizontal="center"/>
      <protection locked="0"/>
    </xf>
    <xf numFmtId="165" fontId="0" fillId="3" borderId="17" xfId="0" applyNumberFormat="1" applyFill="1" applyBorder="1" applyAlignment="1" applyProtection="1">
      <alignment horizontal="center"/>
      <protection locked="0"/>
    </xf>
    <xf numFmtId="165" fontId="0" fillId="3" borderId="18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11" xfId="0" applyFont="1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3" borderId="48" xfId="0" applyFill="1" applyBorder="1" applyAlignment="1" applyProtection="1">
      <alignment horizontal="left"/>
      <protection locked="0"/>
    </xf>
    <xf numFmtId="0" fontId="1" fillId="0" borderId="48" xfId="0" applyFont="1" applyBorder="1" applyAlignment="1" applyProtection="1">
      <alignment horizontal="center"/>
    </xf>
    <xf numFmtId="0" fontId="0" fillId="0" borderId="48" xfId="0" applyBorder="1" applyAlignment="1" applyProtection="1">
      <alignment horizontal="center"/>
    </xf>
    <xf numFmtId="0" fontId="1" fillId="3" borderId="43" xfId="0" applyFont="1" applyFill="1" applyBorder="1" applyAlignment="1" applyProtection="1">
      <alignment horizontal="center"/>
      <protection locked="0"/>
    </xf>
    <xf numFmtId="0" fontId="0" fillId="3" borderId="43" xfId="0" applyFill="1" applyBorder="1" applyAlignment="1" applyProtection="1">
      <alignment horizontal="center"/>
      <protection locked="0"/>
    </xf>
    <xf numFmtId="0" fontId="0" fillId="3" borderId="47" xfId="0" applyFill="1" applyBorder="1" applyAlignment="1" applyProtection="1">
      <alignment horizontal="center"/>
      <protection locked="0"/>
    </xf>
    <xf numFmtId="0" fontId="1" fillId="3" borderId="25" xfId="0" applyFont="1" applyFill="1" applyBorder="1" applyAlignment="1" applyProtection="1">
      <alignment horizontal="center"/>
      <protection locked="0"/>
    </xf>
    <xf numFmtId="0" fontId="0" fillId="3" borderId="25" xfId="0" applyFill="1" applyBorder="1" applyAlignment="1" applyProtection="1">
      <alignment horizontal="center"/>
      <protection locked="0"/>
    </xf>
    <xf numFmtId="0" fontId="0" fillId="3" borderId="32" xfId="0" applyFill="1" applyBorder="1" applyAlignment="1" applyProtection="1">
      <alignment horizontal="center"/>
      <protection locked="0"/>
    </xf>
    <xf numFmtId="0" fontId="1" fillId="3" borderId="42" xfId="0" applyFont="1" applyFill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 vertical="center"/>
    </xf>
    <xf numFmtId="1" fontId="1" fillId="0" borderId="4" xfId="0" applyNumberFormat="1" applyFont="1" applyBorder="1" applyAlignment="1" applyProtection="1">
      <alignment horizontal="center" vertical="center"/>
    </xf>
    <xf numFmtId="1" fontId="1" fillId="0" borderId="5" xfId="0" applyNumberFormat="1" applyFont="1" applyBorder="1" applyAlignment="1" applyProtection="1">
      <alignment horizontal="center" vertical="center"/>
    </xf>
    <xf numFmtId="1" fontId="1" fillId="0" borderId="6" xfId="0" applyNumberFormat="1" applyFont="1" applyBorder="1" applyAlignment="1" applyProtection="1">
      <alignment horizontal="center" vertical="center"/>
    </xf>
    <xf numFmtId="1" fontId="1" fillId="0" borderId="0" xfId="0" applyNumberFormat="1" applyFont="1" applyBorder="1" applyAlignment="1" applyProtection="1">
      <alignment horizontal="center" vertical="center"/>
    </xf>
    <xf numFmtId="1" fontId="1" fillId="0" borderId="7" xfId="0" applyNumberFormat="1" applyFont="1" applyBorder="1" applyAlignment="1" applyProtection="1">
      <alignment horizontal="center" vertical="center"/>
    </xf>
    <xf numFmtId="1" fontId="1" fillId="0" borderId="35" xfId="0" applyNumberFormat="1" applyFont="1" applyBorder="1" applyAlignment="1" applyProtection="1">
      <alignment horizontal="center" vertical="center"/>
    </xf>
    <xf numFmtId="1" fontId="1" fillId="0" borderId="36" xfId="0" applyNumberFormat="1" applyFont="1" applyBorder="1" applyAlignment="1" applyProtection="1">
      <alignment horizontal="center" vertical="center"/>
    </xf>
    <xf numFmtId="1" fontId="1" fillId="0" borderId="37" xfId="0" applyNumberFormat="1" applyFont="1" applyBorder="1" applyAlignment="1" applyProtection="1">
      <alignment horizontal="center" vertical="center"/>
    </xf>
    <xf numFmtId="1" fontId="0" fillId="0" borderId="33" xfId="0" applyNumberFormat="1" applyBorder="1" applyAlignment="1" applyProtection="1">
      <alignment horizontal="center" vertical="center" wrapText="1" shrinkToFit="1"/>
    </xf>
    <xf numFmtId="1" fontId="0" fillId="0" borderId="26" xfId="0" applyNumberFormat="1" applyBorder="1" applyAlignment="1" applyProtection="1">
      <alignment horizontal="center" vertical="center" wrapText="1" shrinkToFit="1"/>
    </xf>
    <xf numFmtId="1" fontId="0" fillId="0" borderId="34" xfId="0" applyNumberFormat="1" applyBorder="1" applyAlignment="1" applyProtection="1">
      <alignment horizontal="center" vertical="center" wrapText="1" shrinkToFit="1"/>
    </xf>
    <xf numFmtId="0" fontId="0" fillId="0" borderId="35" xfId="0" applyBorder="1" applyAlignment="1">
      <alignment horizontal="center" vertical="center" wrapText="1" shrinkToFit="1"/>
    </xf>
    <xf numFmtId="0" fontId="0" fillId="0" borderId="36" xfId="0" applyBorder="1" applyAlignment="1">
      <alignment horizontal="center" vertical="center" wrapText="1" shrinkToFit="1"/>
    </xf>
    <xf numFmtId="0" fontId="0" fillId="0" borderId="37" xfId="0" applyBorder="1" applyAlignment="1">
      <alignment horizontal="center" vertical="center" wrapText="1" shrinkToFit="1"/>
    </xf>
    <xf numFmtId="1" fontId="0" fillId="0" borderId="6" xfId="0" applyNumberFormat="1" applyBorder="1" applyAlignment="1" applyProtection="1">
      <alignment horizontal="center"/>
    </xf>
    <xf numFmtId="1" fontId="0" fillId="0" borderId="0" xfId="0" applyNumberFormat="1" applyBorder="1" applyAlignment="1" applyProtection="1">
      <alignment horizontal="center"/>
    </xf>
    <xf numFmtId="1" fontId="0" fillId="0" borderId="7" xfId="0" applyNumberFormat="1" applyBorder="1" applyAlignment="1" applyProtection="1">
      <alignment horizontal="center"/>
    </xf>
    <xf numFmtId="1" fontId="0" fillId="0" borderId="35" xfId="0" applyNumberFormat="1" applyBorder="1" applyAlignment="1" applyProtection="1">
      <alignment horizontal="center"/>
    </xf>
    <xf numFmtId="1" fontId="0" fillId="0" borderId="36" xfId="0" applyNumberFormat="1" applyBorder="1" applyAlignment="1" applyProtection="1">
      <alignment horizontal="center"/>
    </xf>
    <xf numFmtId="1" fontId="0" fillId="0" borderId="37" xfId="0" applyNumberFormat="1" applyBorder="1" applyAlignment="1" applyProtection="1">
      <alignment horizontal="center"/>
    </xf>
    <xf numFmtId="0" fontId="1" fillId="3" borderId="41" xfId="0" applyFont="1" applyFill="1" applyBorder="1" applyAlignment="1" applyProtection="1">
      <alignment horizontal="center"/>
      <protection locked="0"/>
    </xf>
    <xf numFmtId="0" fontId="0" fillId="3" borderId="29" xfId="0" applyFill="1" applyBorder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center"/>
      <protection locked="0"/>
    </xf>
    <xf numFmtId="0" fontId="0" fillId="3" borderId="22" xfId="0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 vertical="center"/>
    </xf>
    <xf numFmtId="1" fontId="0" fillId="0" borderId="4" xfId="0" applyNumberFormat="1" applyBorder="1" applyAlignment="1" applyProtection="1">
      <alignment horizontal="center" vertical="center"/>
    </xf>
    <xf numFmtId="1" fontId="0" fillId="0" borderId="5" xfId="0" applyNumberFormat="1" applyBorder="1" applyAlignment="1" applyProtection="1">
      <alignment horizontal="center" vertical="center"/>
    </xf>
    <xf numFmtId="1" fontId="0" fillId="0" borderId="6" xfId="0" applyNumberFormat="1" applyBorder="1" applyAlignment="1" applyProtection="1">
      <alignment horizontal="center" vertical="center"/>
    </xf>
    <xf numFmtId="1" fontId="0" fillId="0" borderId="0" xfId="0" applyNumberForma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center" vertical="center"/>
    </xf>
    <xf numFmtId="1" fontId="0" fillId="0" borderId="35" xfId="0" applyNumberFormat="1" applyBorder="1" applyAlignment="1" applyProtection="1">
      <alignment horizontal="center" vertical="center"/>
    </xf>
    <xf numFmtId="1" fontId="0" fillId="0" borderId="36" xfId="0" applyNumberFormat="1" applyBorder="1" applyAlignment="1" applyProtection="1">
      <alignment horizontal="center" vertical="center"/>
    </xf>
    <xf numFmtId="1" fontId="0" fillId="0" borderId="37" xfId="0" applyNumberFormat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38" xfId="0" applyFill="1" applyBorder="1" applyAlignment="1" applyProtection="1">
      <alignment horizontal="center"/>
      <protection locked="0"/>
    </xf>
    <xf numFmtId="0" fontId="1" fillId="3" borderId="23" xfId="0" applyFont="1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0" fillId="3" borderId="39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1" fillId="3" borderId="40" xfId="0" applyFont="1" applyFill="1" applyBorder="1" applyAlignment="1" applyProtection="1">
      <alignment horizontal="center"/>
      <protection locked="0"/>
    </xf>
    <xf numFmtId="0" fontId="1" fillId="3" borderId="24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0" fillId="3" borderId="30" xfId="0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1" fillId="3" borderId="18" xfId="0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/>
      <protection locked="0"/>
    </xf>
    <xf numFmtId="0" fontId="1" fillId="3" borderId="21" xfId="0" applyFont="1" applyFill="1" applyBorder="1" applyAlignment="1" applyProtection="1">
      <alignment horizontal="center"/>
      <protection locked="0"/>
    </xf>
    <xf numFmtId="0" fontId="1" fillId="3" borderId="22" xfId="0" applyFont="1" applyFill="1" applyBorder="1" applyAlignment="1" applyProtection="1">
      <alignment horizontal="center"/>
      <protection locked="0"/>
    </xf>
    <xf numFmtId="1" fontId="0" fillId="3" borderId="23" xfId="0" applyNumberFormat="1" applyFill="1" applyBorder="1" applyAlignment="1" applyProtection="1">
      <alignment horizontal="center"/>
      <protection locked="0"/>
    </xf>
    <xf numFmtId="0" fontId="1" fillId="3" borderId="31" xfId="0" applyFont="1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1" fillId="0" borderId="19" xfId="0" applyFont="1" applyBorder="1" applyAlignment="1">
      <alignment horizontal="center"/>
    </xf>
    <xf numFmtId="2" fontId="0" fillId="3" borderId="29" xfId="0" applyNumberFormat="1" applyFill="1" applyBorder="1" applyAlignment="1" applyProtection="1">
      <alignment horizontal="center"/>
      <protection locked="0"/>
    </xf>
    <xf numFmtId="2" fontId="0" fillId="3" borderId="21" xfId="0" applyNumberFormat="1" applyFill="1" applyBorder="1" applyAlignment="1" applyProtection="1">
      <alignment horizontal="center"/>
      <protection locked="0"/>
    </xf>
    <xf numFmtId="2" fontId="0" fillId="3" borderId="22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66" fontId="1" fillId="0" borderId="29" xfId="0" applyNumberFormat="1" applyFont="1" applyBorder="1" applyAlignment="1" applyProtection="1">
      <alignment horizontal="center"/>
    </xf>
    <xf numFmtId="166" fontId="0" fillId="0" borderId="21" xfId="0" applyNumberFormat="1" applyBorder="1" applyAlignment="1" applyProtection="1">
      <alignment horizontal="center"/>
    </xf>
    <xf numFmtId="166" fontId="0" fillId="0" borderId="22" xfId="0" applyNumberFormat="1" applyBorder="1" applyAlignment="1" applyProtection="1">
      <alignment horizontal="center"/>
    </xf>
    <xf numFmtId="0" fontId="0" fillId="3" borderId="17" xfId="0" applyFill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center"/>
    </xf>
    <xf numFmtId="14" fontId="0" fillId="3" borderId="11" xfId="0" applyNumberFormat="1" applyFill="1" applyBorder="1" applyAlignment="1" applyProtection="1">
      <alignment horizontal="center"/>
      <protection locked="0"/>
    </xf>
    <xf numFmtId="0" fontId="9" fillId="0" borderId="11" xfId="0" applyFont="1" applyBorder="1" applyAlignment="1">
      <alignment horizontal="center"/>
    </xf>
    <xf numFmtId="0" fontId="0" fillId="0" borderId="1" xfId="0" applyBorder="1" applyAlignment="1" applyProtection="1">
      <alignment horizontal="center"/>
    </xf>
    <xf numFmtId="2" fontId="0" fillId="0" borderId="31" xfId="0" applyNumberFormat="1" applyFill="1" applyBorder="1" applyAlignment="1" applyProtection="1">
      <alignment horizontal="center"/>
    </xf>
    <xf numFmtId="166" fontId="3" fillId="7" borderId="31" xfId="0" applyNumberFormat="1" applyFont="1" applyFill="1" applyBorder="1" applyAlignment="1" applyProtection="1">
      <alignment horizontal="center" wrapText="1" shrinkToFit="1"/>
      <protection locked="0"/>
    </xf>
    <xf numFmtId="166" fontId="3" fillId="7" borderId="17" xfId="0" applyNumberFormat="1" applyFont="1" applyFill="1" applyBorder="1" applyAlignment="1" applyProtection="1">
      <alignment horizontal="center" wrapText="1" shrinkToFit="1"/>
      <protection locked="0"/>
    </xf>
    <xf numFmtId="166" fontId="3" fillId="7" borderId="18" xfId="0" applyNumberFormat="1" applyFont="1" applyFill="1" applyBorder="1" applyAlignment="1" applyProtection="1">
      <alignment horizontal="center" wrapText="1" shrinkToFit="1"/>
      <protection locked="0"/>
    </xf>
    <xf numFmtId="2" fontId="17" fillId="0" borderId="23" xfId="3" applyNumberFormat="1" applyFill="1" applyBorder="1" applyAlignment="1" applyProtection="1">
      <alignment horizontal="center"/>
    </xf>
    <xf numFmtId="0" fontId="0" fillId="0" borderId="23" xfId="0" applyFill="1" applyBorder="1" applyAlignment="1" applyProtection="1">
      <alignment horizontal="center"/>
    </xf>
    <xf numFmtId="0" fontId="2" fillId="0" borderId="31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/>
    </xf>
    <xf numFmtId="0" fontId="1" fillId="0" borderId="52" xfId="0" applyFont="1" applyBorder="1" applyAlignment="1" applyProtection="1">
      <alignment horizontal="center"/>
    </xf>
    <xf numFmtId="0" fontId="1" fillId="0" borderId="25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3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19" xfId="0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0" fontId="7" fillId="0" borderId="18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19" fillId="0" borderId="31" xfId="3" applyFont="1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26" xfId="0" applyFont="1" applyBorder="1" applyAlignment="1"/>
    <xf numFmtId="0" fontId="3" fillId="0" borderId="27" xfId="0" applyFont="1" applyBorder="1" applyAlignment="1"/>
    <xf numFmtId="0" fontId="5" fillId="0" borderId="44" xfId="0" applyFont="1" applyBorder="1" applyAlignment="1" applyProtection="1">
      <alignment horizontal="center"/>
    </xf>
    <xf numFmtId="0" fontId="5" fillId="0" borderId="45" xfId="0" applyFont="1" applyBorder="1" applyAlignment="1" applyProtection="1">
      <alignment horizontal="center"/>
    </xf>
    <xf numFmtId="0" fontId="5" fillId="0" borderId="46" xfId="0" applyFont="1" applyBorder="1" applyAlignment="1" applyProtection="1">
      <alignment horizontal="center"/>
    </xf>
    <xf numFmtId="0" fontId="19" fillId="0" borderId="29" xfId="3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2" fillId="0" borderId="29" xfId="3" applyFont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1" fontId="1" fillId="3" borderId="31" xfId="0" applyNumberFormat="1" applyFont="1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9" xfId="0" applyFont="1" applyBorder="1" applyAlignment="1" applyProtection="1">
      <alignment horizontal="center" wrapText="1" shrinkToFit="1"/>
    </xf>
    <xf numFmtId="0" fontId="2" fillId="0" borderId="17" xfId="0" applyFont="1" applyBorder="1" applyAlignment="1">
      <alignment horizontal="center" wrapText="1" shrinkToFit="1"/>
    </xf>
    <xf numFmtId="0" fontId="2" fillId="0" borderId="18" xfId="0" applyFont="1" applyBorder="1" applyAlignment="1">
      <alignment horizontal="center" wrapText="1" shrinkToFit="1"/>
    </xf>
    <xf numFmtId="0" fontId="1" fillId="0" borderId="13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168" fontId="11" fillId="0" borderId="13" xfId="0" applyNumberFormat="1" applyFont="1" applyBorder="1" applyAlignment="1">
      <alignment horizontal="center" vertical="center" wrapText="1" shrinkToFit="1"/>
    </xf>
    <xf numFmtId="168" fontId="11" fillId="0" borderId="49" xfId="0" applyNumberFormat="1" applyFont="1" applyBorder="1" applyAlignment="1">
      <alignment horizontal="center" vertical="center" wrapText="1" shrinkToFit="1"/>
    </xf>
    <xf numFmtId="168" fontId="11" fillId="0" borderId="50" xfId="0" applyNumberFormat="1" applyFont="1" applyBorder="1" applyAlignment="1">
      <alignment horizontal="center" vertical="center" wrapText="1" shrinkToFit="1"/>
    </xf>
    <xf numFmtId="0" fontId="11" fillId="0" borderId="8" xfId="0" applyFont="1" applyBorder="1" applyAlignment="1" applyProtection="1">
      <alignment horizontal="center" textRotation="90"/>
    </xf>
    <xf numFmtId="0" fontId="11" fillId="0" borderId="9" xfId="0" applyFont="1" applyBorder="1" applyAlignment="1">
      <alignment horizontal="center" textRotation="90"/>
    </xf>
    <xf numFmtId="0" fontId="11" fillId="0" borderId="24" xfId="0" applyFont="1" applyBorder="1" applyAlignment="1">
      <alignment horizontal="center" textRotation="90"/>
    </xf>
    <xf numFmtId="0" fontId="0" fillId="0" borderId="24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 applyProtection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9" fontId="0" fillId="0" borderId="29" xfId="0" applyNumberFormat="1" applyBorder="1" applyAlignment="1" applyProtection="1">
      <alignment horizontal="center"/>
    </xf>
    <xf numFmtId="169" fontId="0" fillId="0" borderId="21" xfId="0" applyNumberFormat="1" applyBorder="1" applyAlignment="1" applyProtection="1">
      <alignment horizontal="center"/>
    </xf>
    <xf numFmtId="169" fontId="0" fillId="0" borderId="22" xfId="0" applyNumberFormat="1" applyBorder="1" applyAlignment="1" applyProtection="1">
      <alignment horizontal="center"/>
    </xf>
    <xf numFmtId="165" fontId="0" fillId="0" borderId="29" xfId="0" applyNumberFormat="1" applyBorder="1" applyAlignment="1" applyProtection="1">
      <alignment horizontal="center"/>
    </xf>
    <xf numFmtId="165" fontId="0" fillId="0" borderId="21" xfId="0" applyNumberFormat="1" applyBorder="1" applyAlignment="1" applyProtection="1">
      <alignment horizontal="center"/>
    </xf>
    <xf numFmtId="165" fontId="0" fillId="0" borderId="22" xfId="0" applyNumberFormat="1" applyBorder="1" applyAlignment="1" applyProtection="1">
      <alignment horizontal="center"/>
    </xf>
    <xf numFmtId="1" fontId="0" fillId="0" borderId="29" xfId="0" applyNumberFormat="1" applyBorder="1" applyAlignment="1" applyProtection="1">
      <alignment horizontal="center"/>
    </xf>
    <xf numFmtId="1" fontId="0" fillId="0" borderId="21" xfId="0" applyNumberFormat="1" applyBorder="1" applyAlignment="1" applyProtection="1">
      <alignment horizontal="center"/>
    </xf>
    <xf numFmtId="1" fontId="0" fillId="0" borderId="22" xfId="0" applyNumberForma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0" fillId="0" borderId="49" xfId="0" applyBorder="1" applyAlignment="1"/>
    <xf numFmtId="0" fontId="0" fillId="0" borderId="50" xfId="0" applyBorder="1" applyAlignment="1"/>
    <xf numFmtId="0" fontId="0" fillId="0" borderId="20" xfId="0" applyBorder="1" applyAlignment="1" applyProtection="1">
      <alignment horizontal="center"/>
    </xf>
    <xf numFmtId="2" fontId="0" fillId="5" borderId="31" xfId="0" applyNumberFormat="1" applyFill="1" applyBorder="1" applyAlignment="1" applyProtection="1">
      <alignment horizontal="center"/>
    </xf>
    <xf numFmtId="2" fontId="0" fillId="5" borderId="17" xfId="0" applyNumberFormat="1" applyFill="1" applyBorder="1" applyAlignment="1" applyProtection="1">
      <alignment horizontal="center"/>
    </xf>
    <xf numFmtId="2" fontId="0" fillId="5" borderId="18" xfId="0" applyNumberFormat="1" applyFill="1" applyBorder="1" applyAlignment="1" applyProtection="1">
      <alignment horizontal="center"/>
    </xf>
    <xf numFmtId="0" fontId="1" fillId="5" borderId="31" xfId="0" applyFont="1" applyFill="1" applyBorder="1" applyAlignment="1" applyProtection="1">
      <alignment horizontal="center"/>
    </xf>
    <xf numFmtId="0" fontId="0" fillId="5" borderId="17" xfId="0" applyFill="1" applyBorder="1" applyAlignment="1" applyProtection="1">
      <alignment horizontal="center"/>
    </xf>
    <xf numFmtId="0" fontId="0" fillId="5" borderId="2" xfId="0" applyFill="1" applyBorder="1" applyAlignment="1" applyProtection="1">
      <alignment horizontal="center"/>
    </xf>
    <xf numFmtId="169" fontId="0" fillId="0" borderId="31" xfId="0" applyNumberFormat="1" applyBorder="1" applyAlignment="1" applyProtection="1">
      <alignment horizontal="center"/>
    </xf>
    <xf numFmtId="169" fontId="0" fillId="0" borderId="17" xfId="0" applyNumberFormat="1" applyBorder="1" applyAlignment="1" applyProtection="1">
      <alignment horizontal="center"/>
    </xf>
    <xf numFmtId="169" fontId="0" fillId="0" borderId="18" xfId="0" applyNumberFormat="1" applyBorder="1" applyAlignment="1" applyProtection="1">
      <alignment horizontal="center"/>
    </xf>
    <xf numFmtId="0" fontId="0" fillId="0" borderId="3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0" xfId="0" applyFont="1" applyBorder="1" applyAlignment="1" applyProtection="1">
      <alignment horizontal="center"/>
    </xf>
    <xf numFmtId="0" fontId="0" fillId="3" borderId="0" xfId="0" applyFill="1" applyBorder="1" applyAlignment="1" applyProtection="1">
      <alignment horizontal="left"/>
      <protection locked="0"/>
    </xf>
    <xf numFmtId="0" fontId="0" fillId="0" borderId="9" xfId="0" applyBorder="1" applyAlignment="1">
      <alignment horizontal="center"/>
    </xf>
    <xf numFmtId="0" fontId="4" fillId="0" borderId="7" xfId="0" applyFont="1" applyBorder="1" applyAlignment="1">
      <alignment horizontal="center"/>
    </xf>
    <xf numFmtId="1" fontId="0" fillId="3" borderId="25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1" fontId="0" fillId="3" borderId="29" xfId="0" applyNumberFormat="1" applyFill="1" applyBorder="1" applyAlignment="1" applyProtection="1">
      <alignment horizontal="center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1" fontId="0" fillId="3" borderId="22" xfId="0" applyNumberFormat="1" applyFill="1" applyBorder="1" applyAlignment="1" applyProtection="1">
      <alignment horizontal="center"/>
      <protection locked="0"/>
    </xf>
    <xf numFmtId="0" fontId="1" fillId="3" borderId="29" xfId="0" applyFon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</xf>
    <xf numFmtId="0" fontId="12" fillId="0" borderId="16" xfId="0" applyFont="1" applyBorder="1" applyAlignment="1" applyProtection="1">
      <alignment horizontal="center" wrapText="1" shrinkToFit="1"/>
    </xf>
    <xf numFmtId="0" fontId="12" fillId="0" borderId="26" xfId="0" applyFont="1" applyBorder="1" applyAlignment="1" applyProtection="1">
      <alignment horizontal="center" wrapText="1" shrinkToFit="1"/>
    </xf>
    <xf numFmtId="0" fontId="12" fillId="0" borderId="27" xfId="0" applyFont="1" applyBorder="1" applyAlignment="1" applyProtection="1">
      <alignment horizontal="center" wrapText="1" shrinkToFit="1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" fillId="0" borderId="51" xfId="0" applyFont="1" applyBorder="1" applyAlignment="1" applyProtection="1"/>
    <xf numFmtId="0" fontId="0" fillId="0" borderId="41" xfId="0" applyBorder="1" applyAlignment="1" applyProtection="1"/>
    <xf numFmtId="0" fontId="0" fillId="0" borderId="52" xfId="0" applyBorder="1" applyAlignment="1" applyProtection="1">
      <alignment horizontal="center"/>
    </xf>
    <xf numFmtId="0" fontId="19" fillId="0" borderId="0" xfId="3" applyFont="1" applyBorder="1" applyAlignment="1" applyProtection="1">
      <alignment vertical="center" wrapText="1" shrinkToFit="1"/>
    </xf>
    <xf numFmtId="0" fontId="0" fillId="0" borderId="0" xfId="0" applyAlignment="1">
      <alignment vertical="center" wrapText="1" shrinkToFit="1"/>
    </xf>
    <xf numFmtId="0" fontId="3" fillId="0" borderId="0" xfId="3" applyFont="1" applyBorder="1" applyAlignment="1" applyProtection="1">
      <alignment horizontal="center" wrapText="1" shrinkToFit="1"/>
    </xf>
    <xf numFmtId="0" fontId="3" fillId="0" borderId="0" xfId="0" applyFont="1" applyAlignment="1">
      <alignment wrapText="1" shrinkToFit="1"/>
    </xf>
    <xf numFmtId="0" fontId="0" fillId="0" borderId="7" xfId="0" applyBorder="1" applyAlignment="1">
      <alignment vertical="center" wrapText="1" shrinkToFit="1"/>
    </xf>
    <xf numFmtId="0" fontId="0" fillId="0" borderId="39" xfId="0" applyBorder="1" applyAlignment="1">
      <alignment horizontal="center"/>
    </xf>
    <xf numFmtId="0" fontId="5" fillId="0" borderId="6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15" fillId="0" borderId="54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55" xfId="0" applyFont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</xf>
    <xf numFmtId="0" fontId="15" fillId="0" borderId="38" xfId="0" applyFont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center" vertical="center" wrapText="1"/>
    </xf>
    <xf numFmtId="0" fontId="15" fillId="0" borderId="24" xfId="0" applyFont="1" applyBorder="1" applyAlignment="1" applyProtection="1">
      <alignment horizontal="center" vertical="center" wrapText="1"/>
    </xf>
    <xf numFmtId="0" fontId="15" fillId="0" borderId="12" xfId="0" applyFont="1" applyBorder="1" applyAlignment="1" applyProtection="1">
      <alignment horizontal="center" vertical="center" wrapText="1"/>
    </xf>
    <xf numFmtId="10" fontId="0" fillId="4" borderId="3" xfId="0" applyNumberFormat="1" applyFill="1" applyBorder="1" applyAlignment="1" applyProtection="1">
      <alignment horizontal="center" vertical="center"/>
    </xf>
    <xf numFmtId="10" fontId="0" fillId="4" borderId="4" xfId="0" applyNumberFormat="1" applyFill="1" applyBorder="1" applyAlignment="1" applyProtection="1">
      <alignment horizontal="center" vertical="center"/>
    </xf>
    <xf numFmtId="10" fontId="0" fillId="4" borderId="5" xfId="0" applyNumberFormat="1" applyFill="1" applyBorder="1" applyAlignment="1" applyProtection="1">
      <alignment horizontal="center" vertical="center"/>
    </xf>
    <xf numFmtId="10" fontId="0" fillId="4" borderId="10" xfId="0" applyNumberFormat="1" applyFill="1" applyBorder="1" applyAlignment="1" applyProtection="1">
      <alignment horizontal="center" vertical="center"/>
    </xf>
    <xf numFmtId="10" fontId="0" fillId="4" borderId="11" xfId="0" applyNumberFormat="1" applyFill="1" applyBorder="1" applyAlignment="1" applyProtection="1">
      <alignment horizontal="center" vertical="center"/>
    </xf>
    <xf numFmtId="10" fontId="0" fillId="4" borderId="12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15" fillId="0" borderId="53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</xf>
    <xf numFmtId="0" fontId="15" fillId="0" borderId="28" xfId="0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</cellXfs>
  <cellStyles count="6">
    <cellStyle name="Comma 2" xfId="5" xr:uid="{00000000-0005-0000-0000-000001000000}"/>
    <cellStyle name="Normal" xfId="0" builtinId="0"/>
    <cellStyle name="Normal 2" xfId="3" xr:uid="{00000000-0005-0000-0000-000003000000}"/>
    <cellStyle name="Normal 2 2" xfId="1" xr:uid="{00000000-0005-0000-0000-000004000000}"/>
    <cellStyle name="Normal 3" xfId="4" xr:uid="{00000000-0005-0000-0000-000005000000}"/>
    <cellStyle name="Normal 3 2" xfId="2" xr:uid="{00000000-0005-0000-0000-000006000000}"/>
  </cellStyles>
  <dxfs count="12">
    <dxf>
      <numFmt numFmtId="170" formatCode=";;;"/>
    </dxf>
    <dxf>
      <numFmt numFmtId="170" formatCode=";;;"/>
    </dxf>
    <dxf>
      <font>
        <color theme="0"/>
      </font>
    </dxf>
    <dxf>
      <font>
        <color theme="0"/>
      </font>
    </dxf>
    <dxf>
      <font>
        <color theme="0"/>
      </font>
    </dxf>
    <dxf>
      <numFmt numFmtId="170" formatCode=";;;"/>
    </dxf>
    <dxf>
      <numFmt numFmtId="170" formatCode=";;;"/>
    </dxf>
    <dxf>
      <numFmt numFmtId="170" formatCode=";;;"/>
    </dxf>
    <dxf>
      <numFmt numFmtId="170" formatCode=";;;"/>
    </dxf>
    <dxf>
      <numFmt numFmtId="170" formatCode=";;;"/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C6C3B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Tarantula</a:t>
            </a:r>
          </a:p>
        </c:rich>
      </c:tx>
      <c:layout>
        <c:manualLayout>
          <c:xMode val="edge"/>
          <c:yMode val="edge"/>
          <c:x val="0.40629573112537276"/>
          <c:y val="3.542105736039809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290789392888988"/>
          <c:y val="0.15142926833001738"/>
          <c:w val="0.87439258641502182"/>
          <c:h val="0.70950559079942954"/>
        </c:manualLayout>
      </c:layout>
      <c:lineChart>
        <c:grouping val="standard"/>
        <c:varyColors val="0"/>
        <c:ser>
          <c:idx val="0"/>
          <c:order val="0"/>
          <c:tx>
            <c:v>FA (fine)-min</c:v>
          </c:tx>
          <c:spPr>
            <a:ln w="28575" cap="rnd">
              <a:solidFill>
                <a:schemeClr val="tx1">
                  <a:lumMod val="75000"/>
                  <a:lumOff val="2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'ITM-226 CCA check'!$B$34:$B$45</c:f>
              <c:strCache>
                <c:ptCount val="12"/>
                <c:pt idx="0">
                  <c:v>1.5" (37.5mm)</c:v>
                </c:pt>
                <c:pt idx="1">
                  <c:v>1" (25mm)</c:v>
                </c:pt>
                <c:pt idx="2">
                  <c:v>3/4" (19mm)</c:v>
                </c:pt>
                <c:pt idx="3">
                  <c:v>1/2" (12.5mm)</c:v>
                </c:pt>
                <c:pt idx="4">
                  <c:v>3/8" (9.5mm)</c:v>
                </c:pt>
                <c:pt idx="5">
                  <c:v>#4 (4.75mm)</c:v>
                </c:pt>
                <c:pt idx="6">
                  <c:v>#8 (2.36mm)</c:v>
                </c:pt>
                <c:pt idx="7">
                  <c:v>#16 (1.18mm)</c:v>
                </c:pt>
                <c:pt idx="8">
                  <c:v>#30 (600um)</c:v>
                </c:pt>
                <c:pt idx="9">
                  <c:v>#50 (300um)</c:v>
                </c:pt>
                <c:pt idx="10">
                  <c:v>#100 (150um)</c:v>
                </c:pt>
                <c:pt idx="11">
                  <c:v>#200 (75um)</c:v>
                </c:pt>
              </c:strCache>
            </c:strRef>
          </c:cat>
          <c:val>
            <c:numRef>
              <c:f>'ITM-226 CCA check'!$M$34:$M$45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15.718631178707225</c:v>
                </c:pt>
                <c:pt idx="3">
                  <c:v>27.809885931558938</c:v>
                </c:pt>
                <c:pt idx="4">
                  <c:v>9.068441064638785</c:v>
                </c:pt>
                <c:pt idx="5">
                  <c:v>6.6501901140684421</c:v>
                </c:pt>
                <c:pt idx="6">
                  <c:v>3.3726235741444874</c:v>
                </c:pt>
                <c:pt idx="7">
                  <c:v>7.7224334600760463</c:v>
                </c:pt>
                <c:pt idx="8">
                  <c:v>9.0950570342205328</c:v>
                </c:pt>
                <c:pt idx="9">
                  <c:v>12.258555133079849</c:v>
                </c:pt>
                <c:pt idx="10">
                  <c:v>6.7224334600760463</c:v>
                </c:pt>
                <c:pt idx="11">
                  <c:v>0.72813688212927763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FB-46B6-B711-CBA3BE9F4A13}"/>
            </c:ext>
          </c:extLst>
        </c:ser>
        <c:ser>
          <c:idx val="1"/>
          <c:order val="1"/>
          <c:tx>
            <c:v>Min</c:v>
          </c:tx>
          <c:spPr>
            <a:ln w="28575" cap="rnd">
              <a:solidFill>
                <a:schemeClr val="bg2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DFB-46B6-B711-CBA3BE9F4A1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DFB-46B6-B711-CBA3BE9F4A1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DFB-46B6-B711-CBA3BE9F4A1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DFB-46B6-B711-CBA3BE9F4A1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7DFB-46B6-B711-CBA3BE9F4A1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7DFB-46B6-B711-CBA3BE9F4A1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7DFB-46B6-B711-CBA3BE9F4A1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7DFB-46B6-B711-CBA3BE9F4A1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7DFB-46B6-B711-CBA3BE9F4A13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7DFB-46B6-B711-CBA3BE9F4A13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7DFB-46B6-B711-CBA3BE9F4A13}"/>
              </c:ext>
            </c:extLst>
          </c:dPt>
          <c:val>
            <c:numRef>
              <c:f>'ITM-226 CCA check'!$O$34:$O$45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DFB-46B6-B711-CBA3BE9F4A13}"/>
            </c:ext>
          </c:extLst>
        </c:ser>
        <c:ser>
          <c:idx val="2"/>
          <c:order val="2"/>
          <c:tx>
            <c:v>Max</c:v>
          </c:tx>
          <c:spPr>
            <a:ln w="28575" cap="rnd">
              <a:solidFill>
                <a:schemeClr val="bg2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'ITM-226 CCA check'!$P$34:$P$45</c:f>
              <c:numCache>
                <c:formatCode>General</c:formatCode>
                <c:ptCount val="12"/>
                <c:pt idx="0">
                  <c:v>0</c:v>
                </c:pt>
                <c:pt idx="1">
                  <c:v>16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12</c:v>
                </c:pt>
                <c:pt idx="7">
                  <c:v>12</c:v>
                </c:pt>
                <c:pt idx="8">
                  <c:v>20</c:v>
                </c:pt>
                <c:pt idx="9">
                  <c:v>20</c:v>
                </c:pt>
                <c:pt idx="10">
                  <c:v>10</c:v>
                </c:pt>
                <c:pt idx="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DFB-46B6-B711-CBA3BE9F4A13}"/>
            </c:ext>
          </c:extLst>
        </c:ser>
        <c:ser>
          <c:idx val="3"/>
          <c:order val="3"/>
          <c:tx>
            <c:v>FA (fine)-max</c:v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val>
            <c:numRef>
              <c:f>'ITM-226 CCA check'!$M$55:$M$66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14.422454804947668</c:v>
                </c:pt>
                <c:pt idx="3">
                  <c:v>25.516650808753568</c:v>
                </c:pt>
                <c:pt idx="4">
                  <c:v>8.3206470028544235</c:v>
                </c:pt>
                <c:pt idx="5">
                  <c:v>6.1018078020932442</c:v>
                </c:pt>
                <c:pt idx="6">
                  <c:v>3.6717411988582307</c:v>
                </c:pt>
                <c:pt idx="7">
                  <c:v>8.5699333967649878</c:v>
                </c:pt>
                <c:pt idx="8">
                  <c:v>10.241674595623218</c:v>
                </c:pt>
                <c:pt idx="9">
                  <c:v>13.80399619410086</c:v>
                </c:pt>
                <c:pt idx="10">
                  <c:v>7.5699333967649869</c:v>
                </c:pt>
                <c:pt idx="11">
                  <c:v>0.85775451950523329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DFB-46B6-B711-CBA3BE9F4A13}"/>
            </c:ext>
          </c:extLst>
        </c:ser>
        <c:ser>
          <c:idx val="4"/>
          <c:order val="4"/>
          <c:tx>
            <c:v>FA (coarse)-min</c:v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none"/>
          </c:marker>
          <c:val>
            <c:numRef>
              <c:f>'ITM-226 CCA check'!$M$75:$M$86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15.718631178707225</c:v>
                </c:pt>
                <c:pt idx="3">
                  <c:v>27.809885931558938</c:v>
                </c:pt>
                <c:pt idx="4">
                  <c:v>9.068441064638785</c:v>
                </c:pt>
                <c:pt idx="5">
                  <c:v>7.4410646387832706</c:v>
                </c:pt>
                <c:pt idx="6">
                  <c:v>6.5361216730038034</c:v>
                </c:pt>
                <c:pt idx="7">
                  <c:v>8.5133079847908757</c:v>
                </c:pt>
                <c:pt idx="8">
                  <c:v>10.281368821292777</c:v>
                </c:pt>
                <c:pt idx="9">
                  <c:v>10.281368821292777</c:v>
                </c:pt>
                <c:pt idx="10">
                  <c:v>3.954372623574145</c:v>
                </c:pt>
                <c:pt idx="11">
                  <c:v>5.5893536121672999E-2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DFB-46B6-B711-CBA3BE9F4A13}"/>
            </c:ext>
          </c:extLst>
        </c:ser>
        <c:ser>
          <c:idx val="5"/>
          <c:order val="5"/>
          <c:tx>
            <c:v>FA (coarse)-max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'ITM-226 CCA check'!$M$95:$M$106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14.422454804947668</c:v>
                </c:pt>
                <c:pt idx="3">
                  <c:v>25.516650808753568</c:v>
                </c:pt>
                <c:pt idx="4">
                  <c:v>8.3206470028544235</c:v>
                </c:pt>
                <c:pt idx="5">
                  <c:v>6.9923882017126546</c:v>
                </c:pt>
                <c:pt idx="6">
                  <c:v>7.2340627973358727</c:v>
                </c:pt>
                <c:pt idx="7">
                  <c:v>9.4605137963843973</c:v>
                </c:pt>
                <c:pt idx="8">
                  <c:v>11.577545195052334</c:v>
                </c:pt>
                <c:pt idx="9">
                  <c:v>11.577545195052334</c:v>
                </c:pt>
                <c:pt idx="10">
                  <c:v>4.452901998097051</c:v>
                </c:pt>
                <c:pt idx="11">
                  <c:v>0.10076117982873459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DFB-46B6-B711-CBA3BE9F4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711856"/>
        <c:axId val="140839448"/>
      </c:lineChart>
      <c:catAx>
        <c:axId val="192711856"/>
        <c:scaling>
          <c:orientation val="maxMin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Sieve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839448"/>
        <c:crossesAt val="0"/>
        <c:auto val="1"/>
        <c:lblAlgn val="ctr"/>
        <c:lblOffset val="100"/>
        <c:noMultiLvlLbl val="0"/>
      </c:catAx>
      <c:valAx>
        <c:axId val="140839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  <a:r>
                  <a:rPr lang="en-US" baseline="0"/>
                  <a:t> Retained (by Volume)</a:t>
                </a:r>
              </a:p>
            </c:rich>
          </c:tx>
          <c:layout>
            <c:manualLayout>
              <c:xMode val="edge"/>
              <c:yMode val="edge"/>
              <c:x val="6.6215780788553714E-3"/>
              <c:y val="0.4247558089371438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711856"/>
        <c:crosses val="max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2">
              <a:lumMod val="75000"/>
            </a:schemeClr>
          </a:solidFill>
        </a:ln>
        <a:effectLst/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2994855844888518"/>
          <c:y val="4.0222224302949327E-4"/>
          <c:w val="0.24666387988052779"/>
          <c:h val="0.14824250395399005"/>
        </c:manualLayout>
      </c:layout>
      <c:overlay val="0"/>
    </c:legend>
    <c:plotVisOnly val="1"/>
    <c:dispBlanksAs val="gap"/>
    <c:showDLblsOverMax val="0"/>
  </c:chart>
  <c:spPr>
    <a:solidFill>
      <a:schemeClr val="bg2">
        <a:lumMod val="90000"/>
      </a:schemeClr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107654</xdr:colOff>
      <xdr:row>0</xdr:row>
      <xdr:rowOff>166220</xdr:rowOff>
    </xdr:from>
    <xdr:to>
      <xdr:col>13</xdr:col>
      <xdr:colOff>899584</xdr:colOff>
      <xdr:row>27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488CA6-4D2D-4E78-9F21-B6444C1575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Users\MRHARRIS\Desktop\IT-65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Moistures"/>
      <sheetName val="SM652 English"/>
      <sheetName val="IT628 English"/>
      <sheetName val="Chart1"/>
      <sheetName val="SM652 (ICC)"/>
      <sheetName val="IT628  (ICC)"/>
    </sheetNames>
    <sheetDataSet>
      <sheetData sheetId="0" refreshError="1"/>
      <sheetData sheetId="1">
        <row r="41">
          <cell r="BE41">
            <v>0</v>
          </cell>
        </row>
        <row r="61">
          <cell r="AD61" t="str">
            <v>POZZOLAN</v>
          </cell>
          <cell r="AK61" t="str">
            <v>SM CODE</v>
          </cell>
          <cell r="AQ61" t="str">
            <v>FINE AGGREGATE</v>
          </cell>
          <cell r="AX61" t="str">
            <v>SM CODE</v>
          </cell>
          <cell r="BC61" t="str">
            <v>COARSE AGG</v>
          </cell>
          <cell r="BJ61" t="str">
            <v>SM CODE</v>
          </cell>
        </row>
        <row r="62">
          <cell r="AD62" t="str">
            <v>Fly Ash Class C</v>
          </cell>
          <cell r="AJ62" t="str">
            <v>901M00110</v>
          </cell>
          <cell r="AQ62" t="str">
            <v>Natural Sand, 23</v>
          </cell>
          <cell r="AX62" t="str">
            <v>904M06020</v>
          </cell>
          <cell r="BC62" t="str">
            <v>Class AP, CS 8</v>
          </cell>
          <cell r="BJ62" t="str">
            <v>904M00030</v>
          </cell>
          <cell r="BQ62" t="str">
            <v>CONCRETE PLANTS</v>
          </cell>
          <cell r="CP62" t="str">
            <v>COARSE AGGREGATE SOURCES</v>
          </cell>
          <cell r="DY62" t="str">
            <v>904M00030</v>
          </cell>
          <cell r="ED62" t="str">
            <v>904M00110</v>
          </cell>
          <cell r="EI62" t="str">
            <v>904M00140</v>
          </cell>
          <cell r="EN62" t="str">
            <v>904M00220</v>
          </cell>
          <cell r="ES62" t="str">
            <v>904M00250</v>
          </cell>
          <cell r="EX62" t="str">
            <v>904M00330</v>
          </cell>
          <cell r="FC62" t="str">
            <v>904M00360</v>
          </cell>
          <cell r="FH62" t="str">
            <v>904M00550</v>
          </cell>
          <cell r="FM62" t="str">
            <v>904M00690</v>
          </cell>
          <cell r="FR62" t="str">
            <v>904M00710</v>
          </cell>
          <cell r="FW62" t="str">
            <v>904M00760</v>
          </cell>
          <cell r="GB62" t="str">
            <v>904M00800</v>
          </cell>
          <cell r="GG62" t="str">
            <v>904M00820</v>
          </cell>
          <cell r="GL62" t="str">
            <v>904M00870</v>
          </cell>
          <cell r="GQ62" t="str">
            <v>904M00910</v>
          </cell>
          <cell r="GV62" t="str">
            <v>904M00930</v>
          </cell>
          <cell r="HA62" t="str">
            <v>904M00980</v>
          </cell>
          <cell r="HF62" t="str">
            <v>904M01020</v>
          </cell>
          <cell r="HK62" t="str">
            <v>904M01040</v>
          </cell>
          <cell r="HP62" t="str">
            <v>904M01090</v>
          </cell>
          <cell r="HU62" t="str">
            <v>904M01350</v>
          </cell>
          <cell r="HZ62" t="str">
            <v>904M01460</v>
          </cell>
          <cell r="IE62" t="str">
            <v>904M01570</v>
          </cell>
          <cell r="IJ62" t="str">
            <v>904M01680</v>
          </cell>
          <cell r="IO62" t="str">
            <v>904M05630</v>
          </cell>
        </row>
        <row r="63">
          <cell r="AD63" t="str">
            <v>Fly Ash Class F</v>
          </cell>
          <cell r="AJ63" t="str">
            <v>901M00120</v>
          </cell>
          <cell r="AQ63" t="str">
            <v>Natural Sand, QA</v>
          </cell>
          <cell r="AX63" t="str">
            <v>904M06040</v>
          </cell>
          <cell r="BC63" t="str">
            <v>Class AP, CS QA</v>
          </cell>
          <cell r="BJ63" t="str">
            <v>904M00110</v>
          </cell>
          <cell r="BQ63" t="str">
            <v>Name &amp; Location</v>
          </cell>
          <cell r="CI63" t="str">
            <v>Plant No.</v>
          </cell>
          <cell r="CP63" t="str">
            <v>Name</v>
          </cell>
          <cell r="DS63" t="str">
            <v>Source #</v>
          </cell>
        </row>
        <row r="64">
          <cell r="AD64" t="str">
            <v>Silica Fume</v>
          </cell>
          <cell r="AJ64" t="str">
            <v>901M00140</v>
          </cell>
          <cell r="AQ64" t="str">
            <v>Crushed Stn, 23</v>
          </cell>
          <cell r="AX64" t="str">
            <v>904M06220</v>
          </cell>
          <cell r="BC64" t="str">
            <v>Class AP, Gvl 8</v>
          </cell>
          <cell r="BJ64" t="str">
            <v>904M00140</v>
          </cell>
          <cell r="BQ64" t="str">
            <v>A &amp; T Concrete Supply - Ft. Branch, IN</v>
          </cell>
          <cell r="CI64" t="str">
            <v>CONC1774</v>
          </cell>
          <cell r="CP64" t="str">
            <v>Cave/Calcar Quarries, Inc. - Paoli, IN</v>
          </cell>
          <cell r="DS64" t="str">
            <v>2643</v>
          </cell>
          <cell r="DY64" t="str">
            <v>D980500</v>
          </cell>
          <cell r="FR64" t="str">
            <v>D980500</v>
          </cell>
        </row>
        <row r="65">
          <cell r="AD65" t="str">
            <v>GGBFS 100</v>
          </cell>
          <cell r="AJ65" t="str">
            <v>901M00125</v>
          </cell>
          <cell r="AQ65" t="str">
            <v>Air Cool BF, 23</v>
          </cell>
          <cell r="AX65" t="str">
            <v>904M06320</v>
          </cell>
          <cell r="BC65" t="str">
            <v>Class AP, Gvl QA</v>
          </cell>
          <cell r="BJ65" t="str">
            <v>904M00220</v>
          </cell>
          <cell r="BQ65" t="str">
            <v>B. Barnett Ready Mix - Carmi, Il</v>
          </cell>
          <cell r="CI65" t="str">
            <v>CONC1755</v>
          </cell>
          <cell r="CP65" t="str">
            <v>Carolina Stalite Company - Gold Hill, NC</v>
          </cell>
          <cell r="DS65" t="str">
            <v>9996</v>
          </cell>
        </row>
        <row r="66">
          <cell r="AD66" t="str">
            <v>GGBFS 120</v>
          </cell>
          <cell r="AJ66" t="str">
            <v>901M00130</v>
          </cell>
          <cell r="AQ66" t="str">
            <v>Dolomite Sand, 23</v>
          </cell>
          <cell r="AX66" t="str">
            <v>904M06720</v>
          </cell>
          <cell r="BC66" t="str">
            <v>Class AP, CGvl 8</v>
          </cell>
          <cell r="BJ66" t="str">
            <v>904M00250</v>
          </cell>
          <cell r="BQ66" t="str">
            <v>Central Concrete Supply - 5 mi. N. Jct. SR 162 &amp; SR 64</v>
          </cell>
          <cell r="CI66" t="str">
            <v>CONC1710</v>
          </cell>
          <cell r="CP66" t="str">
            <v>Cave Quarries, Inc. - Paoli, IN</v>
          </cell>
          <cell r="DS66" t="str">
            <v>2641</v>
          </cell>
          <cell r="DY66" t="str">
            <v>D001180</v>
          </cell>
          <cell r="FR66" t="str">
            <v>D030530</v>
          </cell>
        </row>
        <row r="67">
          <cell r="AD67" t="str">
            <v>CEMENT</v>
          </cell>
          <cell r="AJ67" t="str">
            <v>SM CODE</v>
          </cell>
          <cell r="BC67" t="str">
            <v>Class AP, CGvl QA</v>
          </cell>
          <cell r="BJ67" t="str">
            <v>904M00330</v>
          </cell>
          <cell r="BQ67" t="str">
            <v>Concrete Supply, LLC - Evansville, IN</v>
          </cell>
          <cell r="CI67" t="str">
            <v>CONC1698</v>
          </cell>
          <cell r="CP67" t="str">
            <v>Corydon Crushed Stone - Corydon, IN</v>
          </cell>
          <cell r="DS67" t="str">
            <v>2572</v>
          </cell>
          <cell r="DY67" t="str">
            <v>D001120</v>
          </cell>
          <cell r="FR67" t="str">
            <v>D980910</v>
          </cell>
        </row>
        <row r="68">
          <cell r="AD68" t="str">
            <v>Type ISA</v>
          </cell>
          <cell r="AJ68" t="str">
            <v>901M00010</v>
          </cell>
          <cell r="AQ68" t="str">
            <v>ADMIXTURE</v>
          </cell>
          <cell r="AX68" t="str">
            <v>SM CODE</v>
          </cell>
          <cell r="BC68" t="str">
            <v>Class AP, BF 8</v>
          </cell>
          <cell r="BJ68" t="str">
            <v>904M00360</v>
          </cell>
          <cell r="BQ68" t="str">
            <v>E &amp; B Paving, Telephone Rd., Chandler, IN</v>
          </cell>
          <cell r="CI68" t="str">
            <v>CONC1542</v>
          </cell>
          <cell r="CP68" t="str">
            <v>EMI (2621-Mulzer Cape Sandy Quarry) - Evansville, IN</v>
          </cell>
          <cell r="DS68" t="str">
            <v>2632</v>
          </cell>
          <cell r="DY68" t="str">
            <v>D971211</v>
          </cell>
          <cell r="FM68" t="str">
            <v>D970211</v>
          </cell>
          <cell r="FR68" t="str">
            <v>D970211</v>
          </cell>
        </row>
        <row r="69">
          <cell r="AD69" t="str">
            <v>Type IA</v>
          </cell>
          <cell r="AJ69" t="str">
            <v>901M00020</v>
          </cell>
          <cell r="AQ69" t="str">
            <v>Type A - WR</v>
          </cell>
          <cell r="AX69" t="str">
            <v>912M00010</v>
          </cell>
          <cell r="BC69" t="str">
            <v>Class AP, BF QA</v>
          </cell>
          <cell r="BJ69" t="str">
            <v>904M00550</v>
          </cell>
          <cell r="BQ69" t="str">
            <v>Edwards Co. Concrete - Graysville, Il</v>
          </cell>
          <cell r="CI69" t="str">
            <v>CONC1555</v>
          </cell>
          <cell r="CP69" t="str">
            <v>Heritage Aggregates - Springville, IN</v>
          </cell>
          <cell r="DS69">
            <v>2642</v>
          </cell>
          <cell r="DY69" t="str">
            <v>D111040</v>
          </cell>
          <cell r="FR69" t="str">
            <v>D110190</v>
          </cell>
        </row>
        <row r="70">
          <cell r="AD70" t="str">
            <v>Type IIIA</v>
          </cell>
          <cell r="AJ70" t="str">
            <v>901M00030</v>
          </cell>
          <cell r="AQ70" t="str">
            <v>Type B - Retard</v>
          </cell>
          <cell r="AX70" t="str">
            <v>912M00020</v>
          </cell>
          <cell r="BC70" t="str">
            <v>Class A, CS 8</v>
          </cell>
          <cell r="BJ70" t="str">
            <v>904M00690</v>
          </cell>
          <cell r="BQ70" t="str">
            <v>Edwards Co. Concrete - Albion, Il</v>
          </cell>
          <cell r="CI70" t="str">
            <v>CONC1655</v>
          </cell>
          <cell r="CP70" t="str">
            <v>Kentucky Solite - Brooks, KY</v>
          </cell>
          <cell r="DS70" t="str">
            <v>2599</v>
          </cell>
        </row>
        <row r="71">
          <cell r="AD71" t="str">
            <v>Type IP-A</v>
          </cell>
          <cell r="AJ71" t="str">
            <v>901M00040</v>
          </cell>
          <cell r="AQ71" t="str">
            <v>Type C - Accel</v>
          </cell>
          <cell r="AX71" t="str">
            <v>912M00030</v>
          </cell>
          <cell r="BC71" t="str">
            <v>Class A, CS 11</v>
          </cell>
          <cell r="BJ71" t="str">
            <v>904M00710</v>
          </cell>
          <cell r="BQ71" t="str">
            <v>Gohmann Asphalt &amp; Construction, Inc.- 1/4 mile N of I-64 &amp; SR 57</v>
          </cell>
          <cell r="CI71" t="str">
            <v>CONC1707</v>
          </cell>
          <cell r="CP71" t="str">
            <v>Lincoln Park Stone - Putnamville, IN</v>
          </cell>
          <cell r="DS71" t="str">
            <v>2180</v>
          </cell>
          <cell r="DY71" t="str">
            <v>D981490</v>
          </cell>
          <cell r="FM71" t="str">
            <v>D040140</v>
          </cell>
          <cell r="FR71" t="str">
            <v>D030310</v>
          </cell>
        </row>
        <row r="72">
          <cell r="AD72" t="str">
            <v>Type IS</v>
          </cell>
          <cell r="AJ72" t="str">
            <v>901M00050</v>
          </cell>
          <cell r="AQ72" t="str">
            <v>Type D - WR/Retard</v>
          </cell>
          <cell r="AX72" t="str">
            <v>912M00040</v>
          </cell>
          <cell r="BC72" t="str">
            <v>Class A, CS 91</v>
          </cell>
          <cell r="BJ72" t="str">
            <v>904M00760</v>
          </cell>
          <cell r="BQ72" t="str">
            <v>I.M.I. - Bedford, IN</v>
          </cell>
          <cell r="CI72" t="str">
            <v>CONC1543</v>
          </cell>
          <cell r="CP72" t="str">
            <v>Mulzer Crushed Stone, Inc. Abydel Quarry - Paoli, IN</v>
          </cell>
          <cell r="DS72" t="str">
            <v>2682</v>
          </cell>
          <cell r="DY72" t="str">
            <v>D000040</v>
          </cell>
          <cell r="FM72" t="str">
            <v>D980700</v>
          </cell>
          <cell r="FR72" t="str">
            <v>D980700</v>
          </cell>
        </row>
        <row r="73">
          <cell r="AD73" t="str">
            <v>Type I</v>
          </cell>
          <cell r="AJ73" t="str">
            <v>901M00060</v>
          </cell>
          <cell r="AQ73" t="str">
            <v>Type E - WR/Accel</v>
          </cell>
          <cell r="AX73" t="str">
            <v>912M00050</v>
          </cell>
          <cell r="BC73" t="str">
            <v>Class A, Gvl 8</v>
          </cell>
          <cell r="BJ73" t="str">
            <v>904M00800</v>
          </cell>
          <cell r="BQ73" t="str">
            <v>I.M.I. - Bloomfield, IN</v>
          </cell>
          <cell r="CI73" t="str">
            <v>CONC1677</v>
          </cell>
          <cell r="CP73" t="str">
            <v>Mulzer Cape Sandy Quarry - Cape Sandy, IN</v>
          </cell>
          <cell r="DS73" t="str">
            <v>2621</v>
          </cell>
        </row>
        <row r="74">
          <cell r="AD74" t="str">
            <v>Type II</v>
          </cell>
          <cell r="AJ74" t="str">
            <v>901M00070</v>
          </cell>
          <cell r="AQ74" t="str">
            <v>Type F-HRWR</v>
          </cell>
          <cell r="AX74" t="str">
            <v>912M00060</v>
          </cell>
          <cell r="BC74" t="str">
            <v>Class A, Gvl 11</v>
          </cell>
          <cell r="BJ74" t="str">
            <v>904M00820</v>
          </cell>
          <cell r="BQ74" t="str">
            <v>I.M.I - Kinser Pike Bloomington, IN</v>
          </cell>
          <cell r="CI74" t="str">
            <v>CONC1335</v>
          </cell>
          <cell r="CP74" t="str">
            <v>Mulzer Mt. Vernon Yard (2621-Cape Sandy) - Mt. Vernon, IN</v>
          </cell>
          <cell r="DS74">
            <v>2969</v>
          </cell>
          <cell r="DY74" t="str">
            <v>D071090</v>
          </cell>
        </row>
        <row r="75">
          <cell r="AD75" t="str">
            <v>Type III</v>
          </cell>
          <cell r="AJ75" t="str">
            <v>901M00080</v>
          </cell>
          <cell r="AQ75" t="str">
            <v>Type G - HRWRR</v>
          </cell>
          <cell r="AX75" t="str">
            <v>912M00070</v>
          </cell>
          <cell r="BC75" t="str">
            <v>Class A, Gvl 91</v>
          </cell>
          <cell r="BJ75" t="str">
            <v>904M00870</v>
          </cell>
          <cell r="BQ75" t="str">
            <v>I.M.I - Rogers Street Bloomington, IN</v>
          </cell>
          <cell r="CI75" t="str">
            <v>CONC1519</v>
          </cell>
          <cell r="CP75" t="str">
            <v>Mulzer Newburgh Yard (2621-Cape Sandy) - Newburgh, IN</v>
          </cell>
          <cell r="DS75" t="str">
            <v>2970</v>
          </cell>
          <cell r="DY75" t="str">
            <v>D970321</v>
          </cell>
          <cell r="FM75" t="str">
            <v>D970321</v>
          </cell>
          <cell r="FR75" t="str">
            <v>D970321</v>
          </cell>
        </row>
        <row r="76">
          <cell r="AD76" t="str">
            <v>Type IP</v>
          </cell>
          <cell r="AJ76" t="str">
            <v>901M00090</v>
          </cell>
          <cell r="AQ76" t="str">
            <v>Latex Mod</v>
          </cell>
          <cell r="AX76" t="str">
            <v>912M40010</v>
          </cell>
          <cell r="BC76" t="str">
            <v>Class A, CGvl 8</v>
          </cell>
          <cell r="BJ76" t="str">
            <v>904M00910</v>
          </cell>
          <cell r="BQ76" t="str">
            <v>I.M.I  #20 - Ebby Rd. Boonville, IN</v>
          </cell>
          <cell r="CI76" t="str">
            <v>CONC1207</v>
          </cell>
          <cell r="CP76" t="str">
            <v>Mulzer Rockport Yard (2621-Cape Sandy) - Rockport, IN</v>
          </cell>
          <cell r="DS76" t="str">
            <v>2971</v>
          </cell>
          <cell r="DY76" t="str">
            <v>D971281</v>
          </cell>
        </row>
        <row r="77">
          <cell r="BC77" t="str">
            <v>Class A, CGvl 11</v>
          </cell>
          <cell r="BJ77" t="str">
            <v>904M00930</v>
          </cell>
          <cell r="BQ77" t="str">
            <v>I.M.I - Elnora, IN</v>
          </cell>
          <cell r="CI77" t="str">
            <v>CONC1782</v>
          </cell>
          <cell r="CP77" t="str">
            <v>Mulzer Tell City Yard (2621-Cape Sandy) - Tell City, IN</v>
          </cell>
          <cell r="DS77" t="str">
            <v>2972</v>
          </cell>
          <cell r="DY77" t="str">
            <v>D081130</v>
          </cell>
          <cell r="FR77" t="str">
            <v>D090010</v>
          </cell>
        </row>
        <row r="78">
          <cell r="BC78" t="str">
            <v>Class A, CGvl 91</v>
          </cell>
          <cell r="BJ78" t="str">
            <v>904M00980</v>
          </cell>
          <cell r="BQ78" t="str">
            <v>I.M.I  #4 - W. Lloyd Expressway, Evansville, IN</v>
          </cell>
          <cell r="CI78" t="str">
            <v>CONC1494</v>
          </cell>
          <cell r="CP78" t="str">
            <v>Mulzer Mt. Vernon Yard (2776-New Amsterdam) - Mt. Vernon, IN</v>
          </cell>
          <cell r="DS78" t="str">
            <v>2969</v>
          </cell>
          <cell r="DY78" t="str">
            <v>D061064</v>
          </cell>
          <cell r="FR78" t="str">
            <v>D020434</v>
          </cell>
        </row>
        <row r="79">
          <cell r="BC79" t="str">
            <v>Class A, BF 8</v>
          </cell>
          <cell r="BJ79" t="str">
            <v>904M01020</v>
          </cell>
          <cell r="BQ79" t="str">
            <v>I.M.I  #6 - Oak Grove Rd., Evansville, IN</v>
          </cell>
          <cell r="CI79" t="str">
            <v>CONC1532</v>
          </cell>
          <cell r="CP79" t="str">
            <v>Mulzer Newburgh Yard (2776-New Amsterdam) - Newburgh, IN</v>
          </cell>
          <cell r="DS79" t="str">
            <v>2970</v>
          </cell>
          <cell r="FM79" t="str">
            <v>D030421</v>
          </cell>
        </row>
        <row r="80">
          <cell r="BC80" t="str">
            <v>Class A, BF 11</v>
          </cell>
          <cell r="BJ80" t="str">
            <v>904M01040</v>
          </cell>
          <cell r="BQ80" t="str">
            <v>I.M.I. #570 - Stanley Ave., Evansville, IN</v>
          </cell>
          <cell r="CI80" t="str">
            <v>CONC1530</v>
          </cell>
          <cell r="CP80" t="str">
            <v>Mulzer Rockport Yard (2776-New Amsterdam) - Rockport, IN</v>
          </cell>
          <cell r="DS80" t="str">
            <v>2971</v>
          </cell>
          <cell r="FM80" t="str">
            <v>D030271</v>
          </cell>
          <cell r="FR80" t="str">
            <v>D030291</v>
          </cell>
        </row>
        <row r="81">
          <cell r="BC81" t="str">
            <v>Class A, BF 91</v>
          </cell>
          <cell r="BJ81" t="str">
            <v>904M01090</v>
          </cell>
          <cell r="BQ81" t="str">
            <v>I.M.I. Plant 1, #572 - Fort Branch, IN</v>
          </cell>
          <cell r="CI81" t="str">
            <v>CONC1653</v>
          </cell>
          <cell r="CP81" t="str">
            <v>Mulzer Tell City Yard (2776-New Amsterdam) - Tell City, IN</v>
          </cell>
          <cell r="DS81" t="str">
            <v>2972</v>
          </cell>
          <cell r="DY81" t="str">
            <v>D061105</v>
          </cell>
        </row>
        <row r="82">
          <cell r="BC82" t="str">
            <v>Class B, CS 8</v>
          </cell>
          <cell r="BJ82" t="str">
            <v>904M01350</v>
          </cell>
          <cell r="BQ82" t="str">
            <v>I.M.I. Plant 2, #572 - Fort Branch, IN</v>
          </cell>
          <cell r="CI82" t="str">
            <v>CONC1711</v>
          </cell>
          <cell r="CP82" t="str">
            <v>Mulzer Temple Quarry - English, IN</v>
          </cell>
          <cell r="DS82" t="str">
            <v>2646</v>
          </cell>
          <cell r="DY82" t="str">
            <v>D001190</v>
          </cell>
          <cell r="FM82" t="str">
            <v>D980380</v>
          </cell>
          <cell r="FR82" t="str">
            <v>D980380</v>
          </cell>
        </row>
        <row r="83">
          <cell r="BC83" t="str">
            <v>Class B, Gvl 8</v>
          </cell>
          <cell r="BJ83" t="str">
            <v>904M01460</v>
          </cell>
          <cell r="BQ83" t="str">
            <v>I.M.I. - Huntingburg, IN</v>
          </cell>
          <cell r="CI83" t="str">
            <v>CONC1637</v>
          </cell>
          <cell r="CP83" t="str">
            <v>Mulzer Tower Quarry - Leavenworth, IN</v>
          </cell>
          <cell r="DS83" t="str">
            <v>2624</v>
          </cell>
          <cell r="DY83" t="str">
            <v>D011040</v>
          </cell>
          <cell r="FM83" t="str">
            <v>D990280</v>
          </cell>
          <cell r="FR83" t="str">
            <v>D980690</v>
          </cell>
        </row>
        <row r="84">
          <cell r="BC84" t="str">
            <v>Class B, CGvl 8</v>
          </cell>
          <cell r="BJ84" t="str">
            <v>904M01570</v>
          </cell>
          <cell r="BQ84" t="str">
            <v>I.M.I. - Jasper, IN</v>
          </cell>
          <cell r="CI84" t="str">
            <v>CONC1672</v>
          </cell>
          <cell r="CP84" t="str">
            <v>Riverside Stone - Battletown, KY</v>
          </cell>
          <cell r="DS84" t="str">
            <v>2639</v>
          </cell>
          <cell r="DY84" t="str">
            <v>D061140</v>
          </cell>
          <cell r="ED84" t="str">
            <v>D021040</v>
          </cell>
          <cell r="FM84" t="str">
            <v>D030200</v>
          </cell>
        </row>
        <row r="85">
          <cell r="BC85" t="str">
            <v>Class B, BF 8</v>
          </cell>
          <cell r="BJ85" t="str">
            <v>904M01680</v>
          </cell>
          <cell r="BQ85" t="str">
            <v>I.M.I - Lawrenceville, IL</v>
          </cell>
          <cell r="CI85" t="str">
            <v>CONC1758</v>
          </cell>
          <cell r="CP85" t="str">
            <v>Rogers Group, Inc. - Bloomington, IN</v>
          </cell>
          <cell r="DS85" t="str">
            <v>2521</v>
          </cell>
          <cell r="DY85" t="str">
            <v>D971080</v>
          </cell>
          <cell r="FR85" t="str">
            <v>D970080</v>
          </cell>
        </row>
        <row r="86">
          <cell r="BC86" t="str">
            <v>Lightweight</v>
          </cell>
          <cell r="BJ86" t="str">
            <v>904M05630</v>
          </cell>
          <cell r="BQ86" t="str">
            <v>I.M.I. - Linton, IN</v>
          </cell>
          <cell r="CI86" t="str">
            <v>CONC1454</v>
          </cell>
          <cell r="CP86" t="str">
            <v>Rogers Group, Inc. - Mitchell, IN</v>
          </cell>
          <cell r="DS86" t="str">
            <v>2645</v>
          </cell>
          <cell r="DY86" t="str">
            <v>D001150</v>
          </cell>
          <cell r="FM86" t="str">
            <v>D970160</v>
          </cell>
          <cell r="FR86" t="str">
            <v>D970160</v>
          </cell>
        </row>
        <row r="87">
          <cell r="BQ87" t="str">
            <v>I.M.I - Mt Carmel, IL</v>
          </cell>
          <cell r="CI87" t="str">
            <v>CONC1489</v>
          </cell>
          <cell r="CP87" t="str">
            <v>Rogers Group, Inc. (Owen Valley) - Spencer, IN</v>
          </cell>
          <cell r="DS87" t="str">
            <v>2159</v>
          </cell>
          <cell r="DY87" t="str">
            <v>D080180</v>
          </cell>
          <cell r="FM87" t="str">
            <v>D090100</v>
          </cell>
          <cell r="FR87" t="str">
            <v>D080190</v>
          </cell>
        </row>
        <row r="88">
          <cell r="BQ88" t="str">
            <v>I.M.I. #10 - Mt. Vernon, IN</v>
          </cell>
          <cell r="CI88" t="str">
            <v>CONC1402</v>
          </cell>
          <cell r="CP88" t="str">
            <v>Rogers Group Inc. (Sieboldt) - Springville, IN</v>
          </cell>
          <cell r="DS88" t="str">
            <v>2524</v>
          </cell>
          <cell r="DY88" t="str">
            <v>D001010</v>
          </cell>
          <cell r="FM88" t="str">
            <v>D080480</v>
          </cell>
          <cell r="FR88" t="str">
            <v>D970300</v>
          </cell>
        </row>
        <row r="89">
          <cell r="BQ89" t="str">
            <v>I.M.I. - Owensboro, KY</v>
          </cell>
          <cell r="CI89" t="str">
            <v>CONC1742</v>
          </cell>
          <cell r="CP89" t="str">
            <v>S &amp; G Excavating, Inc. - Terre Haute, IN</v>
          </cell>
          <cell r="DS89">
            <v>2113</v>
          </cell>
          <cell r="ES89" t="str">
            <v>D981140</v>
          </cell>
          <cell r="GB89" t="str">
            <v>D980920</v>
          </cell>
          <cell r="GQ89" t="str">
            <v>D040080</v>
          </cell>
        </row>
        <row r="90">
          <cell r="A90" t="str">
            <v>POZZOLAN SOURCES</v>
          </cell>
          <cell r="L90" t="e">
            <v>#N/A</v>
          </cell>
          <cell r="N90" t="e">
            <v>#N/A</v>
          </cell>
          <cell r="AA90" t="str">
            <v>901M00110</v>
          </cell>
          <cell r="AG90" t="str">
            <v>901M00120</v>
          </cell>
          <cell r="AM90" t="str">
            <v>901M00140</v>
          </cell>
          <cell r="AS90" t="str">
            <v>901M00130</v>
          </cell>
          <cell r="AY90" t="str">
            <v>901M00125</v>
          </cell>
          <cell r="BQ90" t="str">
            <v>I.M.I. - Paoli, IN</v>
          </cell>
          <cell r="CI90" t="str">
            <v>CONC1686</v>
          </cell>
          <cell r="CP90" t="str">
            <v>S &amp; G Excavating, Inc. (2180-Linoln Park Stone) - Terre Haute, IN</v>
          </cell>
          <cell r="DS90">
            <v>2113</v>
          </cell>
          <cell r="DY90" t="str">
            <v>D031131</v>
          </cell>
          <cell r="FR90" t="str">
            <v>D030331</v>
          </cell>
        </row>
        <row r="91">
          <cell r="A91" t="str">
            <v>Name</v>
          </cell>
          <cell r="V91" t="str">
            <v>Source #</v>
          </cell>
          <cell r="AA91" t="str">
            <v>BFU</v>
          </cell>
          <cell r="BQ91" t="str">
            <v>I.M.I. - Petersburg, IN</v>
          </cell>
          <cell r="CI91" t="str">
            <v>CONC1530</v>
          </cell>
        </row>
        <row r="92">
          <cell r="A92" t="str">
            <v>Axim Concrete Technologies - CATEXOL SF-D</v>
          </cell>
          <cell r="V92" t="str">
            <v>8273</v>
          </cell>
          <cell r="AM92" t="str">
            <v>W028167</v>
          </cell>
          <cell r="BQ92" t="str">
            <v>I.M.I. - Rockport, IN</v>
          </cell>
          <cell r="CI92" t="str">
            <v>CONC1321</v>
          </cell>
        </row>
        <row r="93">
          <cell r="A93" t="str">
            <v>Buzzi Unicem USA Sales Co. - Aucem, Grade 100</v>
          </cell>
          <cell r="V93" t="str">
            <v>0002</v>
          </cell>
          <cell r="AY93" t="str">
            <v>W128166</v>
          </cell>
          <cell r="BQ93" t="str">
            <v>I.M.I. - Sullivan, IN</v>
          </cell>
          <cell r="CI93" t="str">
            <v>CONC1447</v>
          </cell>
        </row>
        <row r="94">
          <cell r="A94" t="str">
            <v>Buzzi Unicem USA Sales Co. - Aucem, Grade 120</v>
          </cell>
          <cell r="V94" t="str">
            <v>0002</v>
          </cell>
          <cell r="AS94" t="str">
            <v>W038151</v>
          </cell>
          <cell r="BQ94" t="str">
            <v>I.M.I. - Washington, IN</v>
          </cell>
          <cell r="CI94" t="str">
            <v>CONC1212</v>
          </cell>
        </row>
        <row r="95">
          <cell r="A95" t="str">
            <v>Charah, Inc. - Mill Creek Power Plant, Louisville, KY</v>
          </cell>
          <cell r="V95" t="str">
            <v>0229</v>
          </cell>
          <cell r="AG95" t="str">
            <v>W098153</v>
          </cell>
          <cell r="BQ95" t="str">
            <v>JJ's Concrete - 9149 E 800N , Montgomery, IN</v>
          </cell>
          <cell r="CI95" t="str">
            <v>CONC1788</v>
          </cell>
        </row>
        <row r="96">
          <cell r="A96" t="str">
            <v>Charah, Inc. - Petersburg Power Plant, Petersburg, IN</v>
          </cell>
          <cell r="V96" t="str">
            <v>0211</v>
          </cell>
          <cell r="AG96" t="str">
            <v>W128121</v>
          </cell>
          <cell r="BQ96" t="str">
            <v>Jerry David Enterprises - Evansville, IN</v>
          </cell>
          <cell r="CI96" t="str">
            <v>CONC1764</v>
          </cell>
        </row>
        <row r="97">
          <cell r="A97" t="str">
            <v>Charah, Inc. - Trimble County Sta., Unit 1, Bedford, KY</v>
          </cell>
          <cell r="V97" t="str">
            <v>0238</v>
          </cell>
          <cell r="AG97" t="str">
            <v>W108160</v>
          </cell>
          <cell r="BQ97" t="str">
            <v>Jones &amp; Sons - Vincennes, IN</v>
          </cell>
          <cell r="CI97" t="str">
            <v>CONC1420</v>
          </cell>
        </row>
        <row r="98">
          <cell r="A98" t="str">
            <v>Elkem Materials, Inc. - EMS 970 S</v>
          </cell>
          <cell r="V98" t="str">
            <v>0214</v>
          </cell>
          <cell r="AM98" t="str">
            <v>W028169</v>
          </cell>
          <cell r="BQ98" t="str">
            <v>Jones &amp; Sons - Washington, IN</v>
          </cell>
          <cell r="CI98" t="str">
            <v>CONC1468</v>
          </cell>
          <cell r="CP98" t="str">
            <v>FINE AGGREGATE SOURCES</v>
          </cell>
          <cell r="DY98" t="str">
            <v>23 NS</v>
          </cell>
          <cell r="ED98" t="str">
            <v>QA, NS</v>
          </cell>
          <cell r="EI98" t="str">
            <v>23 CS</v>
          </cell>
          <cell r="EN98" t="str">
            <v>23 ACBF</v>
          </cell>
          <cell r="ES98" t="str">
            <v>23 Dolo</v>
          </cell>
        </row>
        <row r="99">
          <cell r="A99" t="str">
            <v>Elkem Materials, Inc. - EMS 970 DA</v>
          </cell>
          <cell r="V99" t="str">
            <v>0214</v>
          </cell>
          <cell r="AM99" t="str">
            <v>W028168</v>
          </cell>
          <cell r="BQ99" t="str">
            <v>Meuth Concrete Services - 2201 Bergdolt Rd., Evansville, IN</v>
          </cell>
          <cell r="CI99" t="str">
            <v>CONC1769</v>
          </cell>
          <cell r="CP99" t="str">
            <v>Name</v>
          </cell>
          <cell r="DY99" t="str">
            <v>904M06020</v>
          </cell>
          <cell r="ED99" t="str">
            <v>904M06040</v>
          </cell>
          <cell r="EI99" t="str">
            <v>904M06220</v>
          </cell>
          <cell r="EN99" t="str">
            <v>904M06230</v>
          </cell>
          <cell r="ES99" t="str">
            <v>904M06720</v>
          </cell>
        </row>
        <row r="100">
          <cell r="A100" t="str">
            <v>Fly Ash Direct - Clifty Creek Power Plant, Madison, IN</v>
          </cell>
          <cell r="V100" t="str">
            <v>0223</v>
          </cell>
          <cell r="AG100" t="str">
            <v>W078164</v>
          </cell>
          <cell r="BQ100" t="str">
            <v>Modified Concrete Suppliers, LLC - Indianoplis, IN</v>
          </cell>
          <cell r="CI100" t="str">
            <v>CONC1760</v>
          </cell>
        </row>
        <row r="101">
          <cell r="A101" t="str">
            <v>Fly Ash Direct-Miami Ft. Unit 8, N. Bend, OH</v>
          </cell>
          <cell r="V101" t="str">
            <v>0209</v>
          </cell>
          <cell r="AG101" t="str">
            <v>W038152</v>
          </cell>
          <cell r="BQ101" t="str">
            <v>Mulzer Crushed Stone - Leavenworth, IN</v>
          </cell>
          <cell r="CI101" t="str">
            <v>CONC1682</v>
          </cell>
          <cell r="CP101" t="str">
            <v>EMI - Evansville, IN</v>
          </cell>
          <cell r="DS101" t="str">
            <v>2632</v>
          </cell>
          <cell r="DY101" t="str">
            <v>D970210</v>
          </cell>
        </row>
        <row r="102">
          <cell r="A102" t="str">
            <v>Fly Ash Direct-Zimmer Power Station, Moscow, OH</v>
          </cell>
          <cell r="V102" t="str">
            <v>0209</v>
          </cell>
          <cell r="AG102" t="str">
            <v>W038153</v>
          </cell>
          <cell r="BQ102" t="str">
            <v>NAAS Concrete Inc. - Elberfeld, IN</v>
          </cell>
          <cell r="CI102" t="str">
            <v>CONC1248</v>
          </cell>
          <cell r="CP102" t="str">
            <v>EMI - Griffin, IN</v>
          </cell>
          <cell r="DS102" t="str">
            <v>2631</v>
          </cell>
          <cell r="DY102" t="str">
            <v>D970200</v>
          </cell>
        </row>
        <row r="103">
          <cell r="A103" t="str">
            <v>Fly Ash Direct-Miami Ft. Unit 7, N. Bend, OH</v>
          </cell>
          <cell r="V103" t="str">
            <v>0209</v>
          </cell>
          <cell r="AG103" t="str">
            <v>W028161</v>
          </cell>
          <cell r="BQ103" t="str">
            <v>NAAS Concrete Inc. - Evansville, IN</v>
          </cell>
          <cell r="CI103" t="str">
            <v>CONC1593</v>
          </cell>
          <cell r="CP103" t="str">
            <v>Gibson Co. S &amp; G, Owensville, IN</v>
          </cell>
          <cell r="DS103" t="str">
            <v>2688</v>
          </cell>
          <cell r="DY103" t="str">
            <v>D040150</v>
          </cell>
        </row>
        <row r="104">
          <cell r="A104" t="str">
            <v>Fly Ash Direct-Wabash River Gen Sta. Unit 6, W Terre Haute, IN</v>
          </cell>
          <cell r="V104" t="str">
            <v>0235</v>
          </cell>
          <cell r="AG104" t="str">
            <v>W098160</v>
          </cell>
          <cell r="BQ104" t="str">
            <v>N.E.W. Interstate Concrete Plant A - 2213 Margaret Ave., Terre Haute, IN</v>
          </cell>
          <cell r="CI104" t="str">
            <v>CONC1504</v>
          </cell>
          <cell r="CP104" t="str">
            <v>IMI Delta - Henderson, KY</v>
          </cell>
          <cell r="DS104" t="str">
            <v>2635</v>
          </cell>
        </row>
        <row r="105">
          <cell r="A105" t="str">
            <v>Headwaters Resources -  Baldwin Power Plant</v>
          </cell>
          <cell r="V105" t="str">
            <v>0221</v>
          </cell>
          <cell r="AA105" t="str">
            <v>W028152</v>
          </cell>
          <cell r="BQ105" t="str">
            <v>N.E.W. Interstate Concrete Plant B - 7255 N Memering Rd., Bicknell, IN</v>
          </cell>
          <cell r="CI105" t="str">
            <v>CONC1720</v>
          </cell>
          <cell r="CP105" t="str">
            <v>Jones &amp; Sons - Plainville, IN</v>
          </cell>
          <cell r="DS105" t="str">
            <v>2667</v>
          </cell>
          <cell r="DY105" t="str">
            <v>D980230</v>
          </cell>
        </row>
        <row r="106">
          <cell r="A106" t="str">
            <v>Headwaters Resources - Eckert Station, Lansing, MI</v>
          </cell>
          <cell r="V106" t="str">
            <v>0240</v>
          </cell>
          <cell r="AA106" t="str">
            <v>W118150</v>
          </cell>
          <cell r="BQ106" t="str">
            <v>Orange County Concrete - Orleans, IN</v>
          </cell>
          <cell r="CI106" t="str">
            <v>CONC1320</v>
          </cell>
          <cell r="CP106" t="str">
            <v>Jones &amp; Sons Star Point Mine - Vincennes, IN</v>
          </cell>
          <cell r="DS106" t="str">
            <v>2686</v>
          </cell>
          <cell r="DY106" t="str">
            <v>D000350</v>
          </cell>
        </row>
        <row r="107">
          <cell r="A107" t="str">
            <v>Headwaters Resources - Erickson Station, Lansing, MI</v>
          </cell>
          <cell r="V107" t="str">
            <v>0239</v>
          </cell>
          <cell r="AA107" t="str">
            <v>W118151</v>
          </cell>
          <cell r="BQ107" t="str">
            <v>Prairie Group, Inc. - 3905 N. 25th St., Terre Haute, IN</v>
          </cell>
          <cell r="CI107" t="str">
            <v>CONC1545</v>
          </cell>
          <cell r="CP107" t="str">
            <v>Mulzer Crushed Stone I-164 Sand Pit - Evansville, IN</v>
          </cell>
          <cell r="DS107" t="str">
            <v>2668</v>
          </cell>
        </row>
        <row r="108">
          <cell r="A108" t="str">
            <v>Headwaters Resources - JH Campbell Power Plant - West Olive, MI</v>
          </cell>
          <cell r="V108" t="str">
            <v>0230</v>
          </cell>
          <cell r="AA108" t="str">
            <v>W088150</v>
          </cell>
          <cell r="BQ108" t="str">
            <v>Prairie Group, Inc. - 5222 Margaret Dr., Terre Haute, IN</v>
          </cell>
          <cell r="CI108" t="str">
            <v>CONC1621</v>
          </cell>
          <cell r="CP108" t="str">
            <v>Mulzer Henderson Yard (2632-EMI) - Henderson, KY</v>
          </cell>
          <cell r="DS108" t="str">
            <v>9996</v>
          </cell>
        </row>
        <row r="109">
          <cell r="A109" t="str">
            <v>Headwaters Resources - Hennepin Power Station</v>
          </cell>
          <cell r="V109" t="str">
            <v>0225</v>
          </cell>
          <cell r="AA109" t="str">
            <v>W058151</v>
          </cell>
          <cell r="BQ109" t="str">
            <v>Prairie Materials - 52 W Albert St., Edwardsport, In</v>
          </cell>
          <cell r="CI109" t="str">
            <v>CONC1715</v>
          </cell>
          <cell r="CP109" t="str">
            <v>Mulzer Mt. Vernon Yard (2632-EMI) - Mt. Vernon, IN</v>
          </cell>
          <cell r="DS109" t="str">
            <v>2969</v>
          </cell>
          <cell r="DY109" t="str">
            <v>D970313</v>
          </cell>
        </row>
        <row r="110">
          <cell r="A110" t="str">
            <v>Headwaters Resources - Schahfer Unit 15, Wheatfield, IN</v>
          </cell>
          <cell r="V110" t="str">
            <v>0207</v>
          </cell>
          <cell r="AA110" t="str">
            <v>W028151</v>
          </cell>
          <cell r="BQ110" t="str">
            <v>Prairie Materials -Bloomington, In</v>
          </cell>
          <cell r="CI110" t="str">
            <v>CONC1674</v>
          </cell>
          <cell r="CP110" t="str">
            <v>Mulzer Newburgh Yard (2632-EMI) - Newburgh, IN</v>
          </cell>
          <cell r="DS110" t="str">
            <v>2970</v>
          </cell>
          <cell r="DY110" t="str">
            <v>D970322</v>
          </cell>
        </row>
        <row r="111">
          <cell r="A111" t="str">
            <v>Headwaters Resources - Monroe  Plant, Unit 1 &amp; 2, Monroe, MI</v>
          </cell>
          <cell r="V111" t="str">
            <v>0236</v>
          </cell>
          <cell r="AG111" t="str">
            <v>W108150</v>
          </cell>
          <cell r="BQ111" t="str">
            <v>Tell City Concrete Supply - Tell City, IN</v>
          </cell>
          <cell r="CI111" t="str">
            <v>CONC1486</v>
          </cell>
          <cell r="CP111" t="str">
            <v>Mulzer Rockport Yard (2632-EMI) - Rockport, IN</v>
          </cell>
          <cell r="DS111" t="str">
            <v>2971</v>
          </cell>
          <cell r="DY111" t="str">
            <v>D970282</v>
          </cell>
        </row>
        <row r="112">
          <cell r="A112" t="str">
            <v>Holcim, Inc. - Chicago, IL</v>
          </cell>
          <cell r="V112" t="str">
            <v>0215</v>
          </cell>
          <cell r="AS112" t="str">
            <v>W028165</v>
          </cell>
          <cell r="CP112" t="str">
            <v>Mulzer Tell City Yard (2632-EMI) - Tell City, IN</v>
          </cell>
          <cell r="DS112" t="str">
            <v>2972</v>
          </cell>
          <cell r="DY112" t="str">
            <v>D970295</v>
          </cell>
        </row>
        <row r="113">
          <cell r="A113" t="str">
            <v>LaFarge North America - S. Chicago Grinding Facility</v>
          </cell>
          <cell r="V113" t="str">
            <v>0224</v>
          </cell>
          <cell r="AS113" t="str">
            <v>W038150</v>
          </cell>
          <cell r="AY113" t="str">
            <v>W108154</v>
          </cell>
          <cell r="CP113" t="str">
            <v>Prairie Aggregates - Bloomfield, IN</v>
          </cell>
          <cell r="DS113" t="str">
            <v>2687</v>
          </cell>
          <cell r="DY113" t="str">
            <v>D020190</v>
          </cell>
        </row>
        <row r="114">
          <cell r="A114" t="str">
            <v>LaFarge North America - Joliet Station Units 7 &amp; 8, Joliet, IL</v>
          </cell>
          <cell r="V114" t="str">
            <v>0205</v>
          </cell>
          <cell r="AA114" t="str">
            <v>W028163</v>
          </cell>
          <cell r="CP114" t="str">
            <v>Prairie Aggregates - Waverly, IN</v>
          </cell>
          <cell r="DS114" t="str">
            <v>2981</v>
          </cell>
          <cell r="DY114" t="str">
            <v>D060430</v>
          </cell>
        </row>
        <row r="115">
          <cell r="A115" t="str">
            <v xml:space="preserve">LaFarge North America - Joppa, IL Grinding Facility ISPAT </v>
          </cell>
          <cell r="V115" t="str">
            <v>0009</v>
          </cell>
          <cell r="AS115" t="str">
            <v>W048150</v>
          </cell>
          <cell r="CP115" t="str">
            <v>Rogers Group, Inc. Knox Co. S&amp;G - Vincennes, IN</v>
          </cell>
          <cell r="DS115" t="str">
            <v>2651</v>
          </cell>
          <cell r="DY115" t="str">
            <v>D970140</v>
          </cell>
        </row>
        <row r="116">
          <cell r="A116" t="str">
            <v>Lafarge North America - Oak Creek Power Plant, Oak Creek, WI</v>
          </cell>
          <cell r="V116" t="str">
            <v>0226</v>
          </cell>
          <cell r="AA116" t="str">
            <v>W068157</v>
          </cell>
          <cell r="CP116" t="str">
            <v>Rogers Group, Inc, Morgan Co.S&amp;G - Martinsville, IN</v>
          </cell>
          <cell r="DS116" t="str">
            <v>2523</v>
          </cell>
          <cell r="DY116" t="str">
            <v>D970450</v>
          </cell>
        </row>
        <row r="117">
          <cell r="A117" t="str">
            <v>Lafarge North America - Pleasant Prairie Plant, Kenosha, WI</v>
          </cell>
          <cell r="V117" t="str">
            <v>0237</v>
          </cell>
          <cell r="AA117" t="str">
            <v>W108151</v>
          </cell>
          <cell r="CP117" t="str">
            <v>S &amp; G Excavating, Inc. - Terre Haute, IN</v>
          </cell>
          <cell r="DS117" t="str">
            <v>2113</v>
          </cell>
          <cell r="DY117" t="str">
            <v>D020110</v>
          </cell>
        </row>
        <row r="118">
          <cell r="A118" t="str">
            <v>Mineral Resource Technology - Labidie Power Plant, Labidie, MO</v>
          </cell>
          <cell r="V118" t="str">
            <v>0231</v>
          </cell>
          <cell r="AA118" t="str">
            <v>W098150</v>
          </cell>
        </row>
        <row r="119">
          <cell r="A119" t="str">
            <v>Mineral Resource Technology - Rush Island  Plant, Festus, MO</v>
          </cell>
          <cell r="V119" t="str">
            <v>0233</v>
          </cell>
          <cell r="AA119" t="str">
            <v>W098152</v>
          </cell>
        </row>
        <row r="120">
          <cell r="A120" t="str">
            <v>Master Builders, Inc - Rheomac SF 100</v>
          </cell>
          <cell r="V120" t="str">
            <v>8265</v>
          </cell>
          <cell r="AM120" t="str">
            <v>W028170</v>
          </cell>
        </row>
        <row r="121">
          <cell r="A121" t="str">
            <v>Master Builders, Inc - Rheomac SF 110</v>
          </cell>
          <cell r="V121" t="str">
            <v>8265</v>
          </cell>
          <cell r="AM121" t="str">
            <v>W028171</v>
          </cell>
        </row>
        <row r="122">
          <cell r="A122" t="str">
            <v>Russtech Admixtures - Russtech CSF</v>
          </cell>
          <cell r="V122" t="str">
            <v>8272</v>
          </cell>
          <cell r="AM122" t="str">
            <v>W028172</v>
          </cell>
        </row>
        <row r="123">
          <cell r="A123" t="str">
            <v>Sika Corp - Sikacrete 950</v>
          </cell>
          <cell r="V123" t="str">
            <v>9514</v>
          </cell>
          <cell r="AM123" t="str">
            <v>W028173</v>
          </cell>
        </row>
        <row r="124">
          <cell r="A124" t="str">
            <v>W. R. Grace and Co. - Force 10000</v>
          </cell>
          <cell r="V124" t="str">
            <v>8266</v>
          </cell>
          <cell r="AM124" t="str">
            <v>W028190</v>
          </cell>
        </row>
        <row r="125">
          <cell r="A125" t="str">
            <v>CEMENT SOURCES</v>
          </cell>
        </row>
        <row r="126">
          <cell r="A126" t="str">
            <v>Name</v>
          </cell>
          <cell r="V126" t="str">
            <v>Source</v>
          </cell>
          <cell r="AA126" t="str">
            <v>BFU</v>
          </cell>
        </row>
        <row r="127">
          <cell r="A127" t="str">
            <v>Argos Cement USA - Roberta, AL</v>
          </cell>
          <cell r="V127" t="str">
            <v>0056</v>
          </cell>
          <cell r="AA127" t="str">
            <v>W068357</v>
          </cell>
        </row>
        <row r="128">
          <cell r="A128" t="str">
            <v>Buzzi Unicem Sales Co. - Cape Girardeau, MO</v>
          </cell>
          <cell r="V128" t="str">
            <v>0029</v>
          </cell>
          <cell r="AA128" t="str">
            <v>W028368</v>
          </cell>
        </row>
        <row r="129">
          <cell r="A129" t="str">
            <v>Buzzi Unicem Sales Co. - Chattanooga, TN</v>
          </cell>
          <cell r="V129" t="str">
            <v>0053</v>
          </cell>
          <cell r="AA129" t="str">
            <v>W048352</v>
          </cell>
        </row>
        <row r="130">
          <cell r="A130" t="str">
            <v>Buzzi Unicem Sales Co. - Greencastle, IN</v>
          </cell>
          <cell r="V130" t="str">
            <v>0002</v>
          </cell>
          <cell r="AA130" t="str">
            <v>W028369</v>
          </cell>
        </row>
        <row r="131">
          <cell r="A131" t="str">
            <v>Buzzi Unicem Sales Co. - Festus, MO</v>
          </cell>
          <cell r="V131" t="str">
            <v>0032</v>
          </cell>
          <cell r="AA131" t="str">
            <v>W028371</v>
          </cell>
        </row>
        <row r="132">
          <cell r="A132" t="str">
            <v>Buzzi Unicem Sales Co. - Shockertwon, PA</v>
          </cell>
          <cell r="V132" t="str">
            <v>0054</v>
          </cell>
          <cell r="AA132" t="str">
            <v>W058350</v>
          </cell>
        </row>
        <row r="133">
          <cell r="A133" t="str">
            <v>Cemex, Inc. - Fairborn, OH</v>
          </cell>
          <cell r="V133" t="str">
            <v>0017</v>
          </cell>
          <cell r="AA133" t="str">
            <v>W088301</v>
          </cell>
        </row>
        <row r="134">
          <cell r="A134" t="str">
            <v>Cemex, Inc. - Kosmosdale, KY</v>
          </cell>
          <cell r="V134" t="str">
            <v>0010</v>
          </cell>
          <cell r="AA134" t="str">
            <v>W028374</v>
          </cell>
        </row>
        <row r="135">
          <cell r="A135" t="str">
            <v>Continental Cement Co., LLC - Hannibal, MO</v>
          </cell>
          <cell r="V135" t="str">
            <v>0033</v>
          </cell>
          <cell r="AA135" t="str">
            <v>W088302</v>
          </cell>
        </row>
        <row r="136">
          <cell r="A136" t="str">
            <v>Essroc Materials, Inc. - Logansport, IN</v>
          </cell>
          <cell r="V136" t="str">
            <v>0003</v>
          </cell>
          <cell r="AA136" t="str">
            <v>W028354</v>
          </cell>
        </row>
        <row r="137">
          <cell r="A137" t="str">
            <v>Essroc Materials, Inc. - Speed, IN</v>
          </cell>
          <cell r="V137" t="str">
            <v>0004</v>
          </cell>
          <cell r="AA137" t="str">
            <v>W028355</v>
          </cell>
        </row>
        <row r="138">
          <cell r="A138" t="str">
            <v>Holcim (Canada), Inc. - Mississauga Plant, Ontario, Canada</v>
          </cell>
          <cell r="V138" t="str">
            <v>0059</v>
          </cell>
          <cell r="AA138" t="str">
            <v>W098351</v>
          </cell>
        </row>
        <row r="139">
          <cell r="A139" t="str">
            <v>Holcim (US), Inc. - Ste. Genevieve Plant, Bloomsdale, MO</v>
          </cell>
          <cell r="V139" t="str">
            <v>0058</v>
          </cell>
          <cell r="AA139" t="str">
            <v>W098352</v>
          </cell>
        </row>
        <row r="140">
          <cell r="A140" t="str">
            <v>Holcim (US), Inc. - Theodore, AL</v>
          </cell>
          <cell r="V140" t="str">
            <v>0050</v>
          </cell>
          <cell r="AA140" t="str">
            <v>W028360</v>
          </cell>
        </row>
        <row r="141">
          <cell r="A141" t="str">
            <v>Illinois Cement Co. - Lasalle, Il</v>
          </cell>
          <cell r="V141" t="str">
            <v>0006</v>
          </cell>
          <cell r="AA141" t="str">
            <v>W078371</v>
          </cell>
        </row>
        <row r="142">
          <cell r="A142" t="str">
            <v>LaFarge North America - Alpena, MI</v>
          </cell>
          <cell r="V142" t="str">
            <v>0020</v>
          </cell>
          <cell r="AA142" t="str">
            <v>W028362</v>
          </cell>
        </row>
        <row r="143">
          <cell r="A143" t="str">
            <v>LaFarge North America - Davenport, IA</v>
          </cell>
          <cell r="V143" t="str">
            <v>0041</v>
          </cell>
          <cell r="AA143" t="str">
            <v>W028364</v>
          </cell>
        </row>
        <row r="144">
          <cell r="A144" t="str">
            <v>LaFarge North America - Joppa, IL</v>
          </cell>
          <cell r="V144" t="str">
            <v>0009</v>
          </cell>
          <cell r="AA144" t="str">
            <v>W028365</v>
          </cell>
        </row>
        <row r="145">
          <cell r="A145" t="str">
            <v>LaFarge North America - Paulding, OH</v>
          </cell>
          <cell r="V145" t="str">
            <v>0014</v>
          </cell>
          <cell r="AA145" t="str">
            <v>W028366</v>
          </cell>
        </row>
        <row r="146">
          <cell r="A146" t="str">
            <v>Lehigh Portland Cement Co. - Leeds, AL</v>
          </cell>
          <cell r="V146" t="str">
            <v>0064</v>
          </cell>
          <cell r="AA146" t="str">
            <v>W128350</v>
          </cell>
        </row>
        <row r="147">
          <cell r="A147" t="str">
            <v>Lehigh Portland Cement Co. - Mitchell, IN</v>
          </cell>
          <cell r="V147" t="str">
            <v>0001</v>
          </cell>
          <cell r="AA147" t="str">
            <v>W028367</v>
          </cell>
        </row>
        <row r="148">
          <cell r="A148" t="str">
            <v>Lehigh Portland Cement Co. - Union Bridge, MD</v>
          </cell>
          <cell r="V148" t="str">
            <v>0061</v>
          </cell>
          <cell r="AA148" t="str">
            <v>W118370</v>
          </cell>
        </row>
        <row r="149">
          <cell r="A149" t="str">
            <v>National Cement Co. of Alabama Inc. - Ragland, AL</v>
          </cell>
          <cell r="V149" t="str">
            <v>0060</v>
          </cell>
          <cell r="AA149" t="str">
            <v>W118360</v>
          </cell>
        </row>
        <row r="150">
          <cell r="A150" t="str">
            <v>St. Mary's Cement Co, Charlevoix, MI</v>
          </cell>
          <cell r="V150" t="str">
            <v>0023</v>
          </cell>
          <cell r="AA150" t="str">
            <v>W028390</v>
          </cell>
        </row>
        <row r="151">
          <cell r="A151" t="str">
            <v>St. Mary's Cement Co. - Detroit, MI</v>
          </cell>
          <cell r="V151" t="str">
            <v>0024</v>
          </cell>
          <cell r="AA151" t="str">
            <v>W028350</v>
          </cell>
        </row>
        <row r="152">
          <cell r="A152" t="str">
            <v>St. Mary's Cement Co. - Bowmanvill Plant, Ontario, Canada</v>
          </cell>
          <cell r="V152" t="str">
            <v>0024</v>
          </cell>
          <cell r="AA152" t="str">
            <v>W048350</v>
          </cell>
        </row>
        <row r="153">
          <cell r="A153" t="str">
            <v>St. Mary's Cement Co. - St. Marys Plant, Ontario, Canada</v>
          </cell>
          <cell r="V153" t="str">
            <v>0057</v>
          </cell>
          <cell r="AA153" t="str">
            <v>W098350</v>
          </cell>
        </row>
        <row r="154">
          <cell r="A154" t="str">
            <v>AIR ENTRAINING</v>
          </cell>
        </row>
        <row r="155">
          <cell r="A155" t="str">
            <v>Product</v>
          </cell>
          <cell r="S155" t="str">
            <v>Source #</v>
          </cell>
          <cell r="Z155" t="str">
            <v>BFU</v>
          </cell>
          <cell r="AE155" t="str">
            <v>Rate</v>
          </cell>
        </row>
        <row r="156">
          <cell r="A156" t="str">
            <v>Axim Concrete Technologies - CATEXOL AE 260</v>
          </cell>
          <cell r="S156" t="str">
            <v>8273</v>
          </cell>
          <cell r="Z156" t="str">
            <v>W028600</v>
          </cell>
          <cell r="AE156" t="str">
            <v>0.1 - 6.0</v>
          </cell>
        </row>
        <row r="157">
          <cell r="A157" t="str">
            <v>Axim Concrete Technologies - CATEXOL AE 360</v>
          </cell>
          <cell r="S157" t="str">
            <v>8273</v>
          </cell>
          <cell r="Z157" t="str">
            <v>W028601</v>
          </cell>
          <cell r="AE157" t="str">
            <v>0.1 - 6.0</v>
          </cell>
        </row>
        <row r="158">
          <cell r="A158" t="str">
            <v>Axim Concrete Technologies - CATEXOL VR</v>
          </cell>
          <cell r="S158" t="str">
            <v>8273</v>
          </cell>
          <cell r="Z158" t="str">
            <v>W028602</v>
          </cell>
          <cell r="AE158" t="str">
            <v>0.5 - 5.0</v>
          </cell>
        </row>
        <row r="159">
          <cell r="A159" t="str">
            <v>Axim Concrete Technologies - CATEXOL VR Concentrate</v>
          </cell>
          <cell r="S159" t="str">
            <v>8273</v>
          </cell>
          <cell r="Z159" t="str">
            <v>W028603</v>
          </cell>
          <cell r="AE159" t="str">
            <v>0.50 - 5.0</v>
          </cell>
        </row>
        <row r="160">
          <cell r="A160" t="str">
            <v>BASF Construction Chemicals, LLC - MB-AE 90</v>
          </cell>
          <cell r="S160" t="str">
            <v>8265</v>
          </cell>
          <cell r="Z160" t="str">
            <v>W028608</v>
          </cell>
          <cell r="AE160" t="str">
            <v>0.25 - 4.0</v>
          </cell>
        </row>
        <row r="161">
          <cell r="A161" t="str">
            <v>BASF Construction Chemicals, LLC - MB-VR Standard</v>
          </cell>
          <cell r="S161" t="str">
            <v>8265</v>
          </cell>
          <cell r="Z161" t="str">
            <v>W028610</v>
          </cell>
          <cell r="AE161" t="str">
            <v>0.25 - 4.0</v>
          </cell>
        </row>
        <row r="162">
          <cell r="A162" t="str">
            <v>BASF Construction Chemicals, LLC - MB-VR Concentrate</v>
          </cell>
          <cell r="S162" t="str">
            <v>8265</v>
          </cell>
          <cell r="Z162" t="str">
            <v>W028609</v>
          </cell>
          <cell r="AE162" t="str">
            <v>0.125 - 4.0</v>
          </cell>
        </row>
        <row r="163">
          <cell r="A163" t="str">
            <v>BASF Construction Chemicals, LLC - Everair Plus</v>
          </cell>
          <cell r="S163" t="str">
            <v>8265</v>
          </cell>
          <cell r="Z163" t="str">
            <v>W078612</v>
          </cell>
          <cell r="AE163" t="str">
            <v>0.25 - 4.0</v>
          </cell>
        </row>
        <row r="164">
          <cell r="A164" t="str">
            <v>BASF Construction Chemicals, LLC - Micro-Air</v>
          </cell>
          <cell r="S164" t="str">
            <v>8265</v>
          </cell>
          <cell r="Z164" t="str">
            <v>W028611</v>
          </cell>
          <cell r="AE164" t="str">
            <v>0.125 - 4.0</v>
          </cell>
        </row>
        <row r="165">
          <cell r="A165" t="str">
            <v>Chryso - Chryso Air NVR</v>
          </cell>
          <cell r="S165" t="str">
            <v>8278</v>
          </cell>
          <cell r="Z165" t="str">
            <v>W058629</v>
          </cell>
          <cell r="AE165" t="str">
            <v>0.30 - 7.50</v>
          </cell>
        </row>
        <row r="166">
          <cell r="A166" t="str">
            <v>Chryso - Chryso Air R2</v>
          </cell>
          <cell r="S166" t="str">
            <v>8278</v>
          </cell>
          <cell r="Z166" t="str">
            <v>W068225</v>
          </cell>
          <cell r="AE166" t="str">
            <v>0.25 - 5.0</v>
          </cell>
        </row>
        <row r="167">
          <cell r="A167" t="str">
            <v>Chryso - Chryso Air 260</v>
          </cell>
          <cell r="S167" t="str">
            <v>8278</v>
          </cell>
          <cell r="Z167" t="str">
            <v>W118611</v>
          </cell>
          <cell r="AE167" t="str">
            <v>0.25 - 5.0</v>
          </cell>
        </row>
        <row r="168">
          <cell r="A168" t="str">
            <v>Euclid Chemical Co. - Airextra</v>
          </cell>
          <cell r="S168" t="str">
            <v>8268</v>
          </cell>
          <cell r="Z168" t="str">
            <v>W088612</v>
          </cell>
          <cell r="AE168" t="str">
            <v>0.2 - 3.0</v>
          </cell>
        </row>
        <row r="169">
          <cell r="A169" t="str">
            <v>Euclid Chemical Co. - Airex-L</v>
          </cell>
          <cell r="S169" t="str">
            <v>8268</v>
          </cell>
          <cell r="Z169" t="str">
            <v>W088611</v>
          </cell>
          <cell r="AE169" t="str">
            <v>0.25 - 7.5</v>
          </cell>
        </row>
        <row r="170">
          <cell r="A170" t="str">
            <v>Euclid Chemical Co. - AIR MIX 200</v>
          </cell>
          <cell r="S170" t="str">
            <v>8268</v>
          </cell>
          <cell r="Z170" t="str">
            <v>W028604</v>
          </cell>
          <cell r="AE170" t="str">
            <v>0.50 - 1.0</v>
          </cell>
        </row>
        <row r="171">
          <cell r="A171" t="str">
            <v>Euclid Chemical Co. - AIR MIX 250</v>
          </cell>
          <cell r="S171" t="str">
            <v>8268</v>
          </cell>
          <cell r="Z171" t="str">
            <v>W028607</v>
          </cell>
          <cell r="AE171" t="str">
            <v>0.50 - 2.0</v>
          </cell>
        </row>
        <row r="172">
          <cell r="A172" t="str">
            <v>Euclid Chemical Co. - Euclid AEA-92</v>
          </cell>
          <cell r="S172" t="str">
            <v>8268</v>
          </cell>
          <cell r="Z172" t="str">
            <v>W028605</v>
          </cell>
          <cell r="AE172" t="str">
            <v>0.1 - 4.0</v>
          </cell>
        </row>
        <row r="173">
          <cell r="A173" t="str">
            <v>Euclid Chemical Co. - Euclid AEA-92S</v>
          </cell>
          <cell r="S173" t="str">
            <v>8268</v>
          </cell>
          <cell r="Z173" t="str">
            <v>W118630</v>
          </cell>
          <cell r="AE173" t="str">
            <v>0.5 - 2.0</v>
          </cell>
        </row>
        <row r="174">
          <cell r="A174" t="str">
            <v>Euclid Chemical Co. - Euco Air Mix</v>
          </cell>
          <cell r="S174" t="str">
            <v>8268</v>
          </cell>
          <cell r="Z174" t="str">
            <v>W028606</v>
          </cell>
          <cell r="AE174" t="str">
            <v>0.5 - 1.0</v>
          </cell>
        </row>
        <row r="175">
          <cell r="A175" t="str">
            <v>General Resources Technology, Inc. - Polychem SA-50</v>
          </cell>
          <cell r="S175" t="str">
            <v>8280</v>
          </cell>
          <cell r="Z175" t="str">
            <v>W108601</v>
          </cell>
          <cell r="AE175" t="str">
            <v>0.5 - 3.0</v>
          </cell>
        </row>
        <row r="176">
          <cell r="A176" t="str">
            <v>General Resources Technology, Inc. - Polychem VR</v>
          </cell>
          <cell r="S176" t="str">
            <v>8280</v>
          </cell>
          <cell r="Z176" t="str">
            <v>W108602</v>
          </cell>
          <cell r="AE176" t="str">
            <v>0.15 - 3.0</v>
          </cell>
        </row>
        <row r="177">
          <cell r="A177" t="str">
            <v>Premiere Concrete Admixtures, LLC - Conair</v>
          </cell>
          <cell r="S177" t="str">
            <v>8279</v>
          </cell>
          <cell r="Z177" t="str">
            <v>W088635</v>
          </cell>
          <cell r="AE177" t="str">
            <v>0.2 - 3.0</v>
          </cell>
        </row>
        <row r="178">
          <cell r="A178" t="str">
            <v>Premiere Concrete Admixtures, LLC - Conair VR</v>
          </cell>
          <cell r="S178" t="str">
            <v>8279</v>
          </cell>
          <cell r="Z178" t="str">
            <v>W078635</v>
          </cell>
          <cell r="AE178" t="str">
            <v>0.5 - 2.0</v>
          </cell>
        </row>
        <row r="179">
          <cell r="A179" t="str">
            <v>Premiere Concrete Admixtures, LLC - Conair 260</v>
          </cell>
          <cell r="S179" t="str">
            <v>8279</v>
          </cell>
          <cell r="Z179" t="str">
            <v>W088623</v>
          </cell>
          <cell r="AE179" t="str">
            <v>0.2 - 3.0</v>
          </cell>
        </row>
        <row r="180">
          <cell r="A180" t="str">
            <v>Russtech Admixtures, Inc. - RSA -10</v>
          </cell>
          <cell r="S180" t="str">
            <v>8272</v>
          </cell>
          <cell r="Z180" t="str">
            <v>W028614</v>
          </cell>
          <cell r="AE180" t="str">
            <v>0.5 - 4.0</v>
          </cell>
        </row>
        <row r="181">
          <cell r="A181" t="str">
            <v>Russtech Admixtures, Inc. - RVR -15</v>
          </cell>
          <cell r="S181" t="str">
            <v>8272</v>
          </cell>
          <cell r="Z181" t="str">
            <v>W028615</v>
          </cell>
          <cell r="AE181" t="str">
            <v>0.50 - 2.0</v>
          </cell>
        </row>
        <row r="182">
          <cell r="A182" t="str">
            <v>Sikacorp - SIKA AEA-14</v>
          </cell>
          <cell r="S182" t="str">
            <v>9514</v>
          </cell>
          <cell r="Z182" t="str">
            <v>W078634</v>
          </cell>
          <cell r="AE182" t="str">
            <v>1.0 - 3.0</v>
          </cell>
        </row>
        <row r="183">
          <cell r="A183" t="str">
            <v>Sikacorp - SIKA AEA-15</v>
          </cell>
          <cell r="S183" t="str">
            <v>9514</v>
          </cell>
          <cell r="Z183" t="str">
            <v>W068211</v>
          </cell>
          <cell r="AE183" t="str">
            <v>0.25 - 6.0</v>
          </cell>
        </row>
        <row r="184">
          <cell r="A184" t="str">
            <v>Sikacorp - SIKA AER-C</v>
          </cell>
          <cell r="S184" t="str">
            <v>9514</v>
          </cell>
          <cell r="Z184" t="str">
            <v>W128602</v>
          </cell>
          <cell r="AE184" t="str">
            <v>0.50 - 5.0</v>
          </cell>
        </row>
        <row r="185">
          <cell r="A185" t="str">
            <v>Sikacorp - SIKA AIR</v>
          </cell>
          <cell r="S185" t="str">
            <v>9514</v>
          </cell>
          <cell r="Z185" t="str">
            <v>W048216</v>
          </cell>
          <cell r="AE185" t="str">
            <v>0.5 - 3.0</v>
          </cell>
        </row>
        <row r="186">
          <cell r="A186" t="str">
            <v>Sikacorp - SIKA AIR-260</v>
          </cell>
          <cell r="S186" t="str">
            <v>9514</v>
          </cell>
          <cell r="Z186" t="str">
            <v>W128603</v>
          </cell>
          <cell r="AE186" t="str">
            <v>0.1 - 6.0</v>
          </cell>
        </row>
        <row r="187">
          <cell r="A187" t="str">
            <v>Sikacorp - SIKA AIR-360</v>
          </cell>
          <cell r="S187" t="str">
            <v>9514</v>
          </cell>
          <cell r="Z187" t="str">
            <v>W128604</v>
          </cell>
          <cell r="AE187" t="str">
            <v>0.1 - 6.0</v>
          </cell>
        </row>
        <row r="188">
          <cell r="A188" t="str">
            <v>Sikacorp - SIKA MULTI AIR 25</v>
          </cell>
          <cell r="S188" t="str">
            <v>9514</v>
          </cell>
          <cell r="Z188" t="str">
            <v>W108625</v>
          </cell>
          <cell r="AE188" t="str">
            <v>0.5 - 3.0</v>
          </cell>
        </row>
        <row r="189">
          <cell r="A189" t="str">
            <v>W.R. Grace &amp; Co. - DAREX AEA ED</v>
          </cell>
          <cell r="S189" t="str">
            <v>8266</v>
          </cell>
          <cell r="Z189" t="str">
            <v>W048637</v>
          </cell>
          <cell r="AE189" t="str">
            <v>0.5 - 5.0</v>
          </cell>
        </row>
        <row r="190">
          <cell r="A190" t="str">
            <v>W.R. Grace &amp; Co. - DAREX EH AEA</v>
          </cell>
          <cell r="S190" t="str">
            <v>8266</v>
          </cell>
          <cell r="Z190" t="str">
            <v>W078633</v>
          </cell>
          <cell r="AE190" t="str">
            <v>0.5 - 5.0</v>
          </cell>
        </row>
        <row r="191">
          <cell r="A191" t="str">
            <v>W.R. Grace &amp; Co. - DARAVAIR 1000</v>
          </cell>
          <cell r="S191" t="str">
            <v>8266</v>
          </cell>
          <cell r="Z191" t="str">
            <v>W028616</v>
          </cell>
          <cell r="AE191" t="str">
            <v>0.5 - 5.0</v>
          </cell>
        </row>
        <row r="192">
          <cell r="A192" t="str">
            <v>W.R. Grace &amp; Co. - DARAVAIR 1400</v>
          </cell>
          <cell r="S192" t="str">
            <v>8266</v>
          </cell>
          <cell r="Z192" t="str">
            <v>W028617</v>
          </cell>
          <cell r="AE192" t="str">
            <v>0.50 - 3.0</v>
          </cell>
        </row>
        <row r="193">
          <cell r="A193" t="str">
            <v>W.R. Grace &amp; Co. - DAREX II AEA</v>
          </cell>
          <cell r="S193" t="str">
            <v>8266</v>
          </cell>
          <cell r="Z193" t="str">
            <v>W028619</v>
          </cell>
          <cell r="AE193" t="str">
            <v>0.2 - 7.5</v>
          </cell>
        </row>
        <row r="194">
          <cell r="A194" t="str">
            <v>W.R. Grace &amp; Co. - DAREX EH AEA</v>
          </cell>
          <cell r="S194" t="str">
            <v>8266</v>
          </cell>
          <cell r="Z194" t="str">
            <v>W078633</v>
          </cell>
          <cell r="AE194" t="str">
            <v>0.5 - 5.0</v>
          </cell>
        </row>
        <row r="195">
          <cell r="A195" t="str">
            <v>W.R. Grace &amp; Co. - Terapave AEA</v>
          </cell>
          <cell r="S195" t="str">
            <v>8266</v>
          </cell>
          <cell r="Z195" t="str">
            <v>W088613</v>
          </cell>
          <cell r="AE195" t="str">
            <v>0.5 - 3.0</v>
          </cell>
        </row>
        <row r="200">
          <cell r="AA200" t="str">
            <v>Type A</v>
          </cell>
          <cell r="AF200" t="str">
            <v>Type B</v>
          </cell>
          <cell r="AK200" t="str">
            <v>Type C</v>
          </cell>
          <cell r="AP200" t="str">
            <v>Type D</v>
          </cell>
          <cell r="AU200" t="str">
            <v>Type E</v>
          </cell>
          <cell r="AZ200" t="str">
            <v>Type F</v>
          </cell>
          <cell r="BE200" t="str">
            <v>Type G</v>
          </cell>
          <cell r="BJ200" t="str">
            <v>HRWR</v>
          </cell>
          <cell r="BN200" t="str">
            <v>HRWRR</v>
          </cell>
          <cell r="BR200" t="str">
            <v>Latex Modifiers</v>
          </cell>
        </row>
        <row r="201">
          <cell r="A201" t="str">
            <v>Product</v>
          </cell>
          <cell r="V201" t="str">
            <v>Source</v>
          </cell>
          <cell r="AA201" t="str">
            <v>912M00010</v>
          </cell>
          <cell r="AF201" t="str">
            <v>912M00020</v>
          </cell>
          <cell r="AK201" t="str">
            <v>912M00030</v>
          </cell>
          <cell r="AP201" t="str">
            <v>912M00040</v>
          </cell>
          <cell r="AU201" t="str">
            <v>912M00050</v>
          </cell>
          <cell r="AZ201" t="str">
            <v>912M00060</v>
          </cell>
          <cell r="BE201" t="str">
            <v>912M00070</v>
          </cell>
          <cell r="BJ201" t="str">
            <v>912M00080</v>
          </cell>
          <cell r="BN201" t="str">
            <v>912M00090</v>
          </cell>
          <cell r="BR201" t="str">
            <v>912M40010</v>
          </cell>
        </row>
        <row r="202">
          <cell r="A202" t="str">
            <v>Axim Concrete Technologies - ALLEGRO 122</v>
          </cell>
          <cell r="V202" t="str">
            <v>8273</v>
          </cell>
          <cell r="AZ202" t="str">
            <v>4.0 - 12.0</v>
          </cell>
        </row>
        <row r="203">
          <cell r="A203" t="str">
            <v>Axim Concrete Technologies - CATEXOL HYDROSENSE</v>
          </cell>
          <cell r="V203" t="str">
            <v>8273</v>
          </cell>
          <cell r="AA203" t="str">
            <v>2.0 - 8.0</v>
          </cell>
          <cell r="AZ203" t="str">
            <v>10.0 - 12.0</v>
          </cell>
        </row>
        <row r="204">
          <cell r="A204" t="str">
            <v>Axim Concrete Technologies - CATEXOL 800N</v>
          </cell>
          <cell r="V204" t="str">
            <v>8273</v>
          </cell>
          <cell r="AA204" t="str">
            <v>2.0 - 6.0</v>
          </cell>
          <cell r="AF204" t="str">
            <v>4.0 - 6.0</v>
          </cell>
          <cell r="AP204" t="str">
            <v>4.0 - 6.0</v>
          </cell>
        </row>
        <row r="205">
          <cell r="A205" t="str">
            <v>Axim Concrete Technologies - CATEXOL 1000N</v>
          </cell>
          <cell r="V205" t="str">
            <v>8273</v>
          </cell>
          <cell r="AA205" t="str">
            <v>1.5 - 5.0</v>
          </cell>
          <cell r="AF205" t="str">
            <v>3.5 - 5.0</v>
          </cell>
          <cell r="AP205" t="str">
            <v>3.5 - 5.0</v>
          </cell>
        </row>
        <row r="206">
          <cell r="A206" t="str">
            <v>Axim Concrete Technologies - CATEXOL 800R</v>
          </cell>
          <cell r="V206" t="str">
            <v>8273</v>
          </cell>
          <cell r="AF206" t="str">
            <v>3.0 - 6.0</v>
          </cell>
          <cell r="AP206" t="str">
            <v>3.0 - 6.0</v>
          </cell>
        </row>
        <row r="207">
          <cell r="A207" t="str">
            <v>Axim Concrete Technologies - CATEXOL 1000R</v>
          </cell>
          <cell r="V207" t="str">
            <v>8273</v>
          </cell>
          <cell r="AF207" t="str">
            <v>1.5 - 4.0</v>
          </cell>
          <cell r="AP207" t="str">
            <v>1.5 - 4.0</v>
          </cell>
        </row>
        <row r="208">
          <cell r="A208" t="str">
            <v>Axim Concrete Technologies - CATEXOL 1000 SP-MN</v>
          </cell>
          <cell r="V208" t="str">
            <v>8273</v>
          </cell>
          <cell r="AZ208" t="str">
            <v xml:space="preserve">10.0 - 40.0 </v>
          </cell>
        </row>
        <row r="209">
          <cell r="A209" t="str">
            <v>Axim Concrete Technologies - CATEXOL 2000NI</v>
          </cell>
          <cell r="V209" t="str">
            <v>8273</v>
          </cell>
          <cell r="AA209" t="str">
            <v>3.0 - 12.0</v>
          </cell>
          <cell r="BE209" t="str">
            <v>12.0 - 24.0</v>
          </cell>
        </row>
        <row r="210">
          <cell r="A210" t="str">
            <v>Axim Concrete Technologies - CATEXOL 2000RHE</v>
          </cell>
          <cell r="V210" t="str">
            <v>8273</v>
          </cell>
          <cell r="AK210" t="str">
            <v>5.0 - 15.0</v>
          </cell>
          <cell r="AU210" t="str">
            <v>5.0 - 60.0</v>
          </cell>
        </row>
        <row r="211">
          <cell r="A211" t="str">
            <v>Axim Concrete Technologies - CATEXOL 3500N</v>
          </cell>
          <cell r="V211" t="str">
            <v>8273</v>
          </cell>
          <cell r="AA211" t="str">
            <v>3.0 - 20.0</v>
          </cell>
        </row>
        <row r="212">
          <cell r="A212" t="str">
            <v>Axim Concrete Technologies - CATEXOL 3000 GP</v>
          </cell>
          <cell r="V212" t="str">
            <v>8273</v>
          </cell>
          <cell r="AA212" t="str">
            <v>2.0 - 12.0</v>
          </cell>
        </row>
        <row r="213">
          <cell r="A213" t="str">
            <v>Axim Concrete Technologies - DURAFLUX 33</v>
          </cell>
          <cell r="V213" t="str">
            <v>8273</v>
          </cell>
          <cell r="AA213" t="str">
            <v>1.0 - 8.0</v>
          </cell>
          <cell r="AZ213" t="str">
            <v>5.0 - 20.0</v>
          </cell>
        </row>
        <row r="214">
          <cell r="A214" t="str">
            <v>Axim Concrete Technologies - DURAFLUX 44</v>
          </cell>
          <cell r="V214" t="str">
            <v>8273</v>
          </cell>
          <cell r="AA214" t="str">
            <v>1.0 - 8.0</v>
          </cell>
          <cell r="AZ214">
            <v>0</v>
          </cell>
        </row>
        <row r="215">
          <cell r="A215" t="str">
            <v>Axim Concrete Technologies - DURAFLUX 55</v>
          </cell>
          <cell r="V215" t="str">
            <v>8273</v>
          </cell>
          <cell r="AA215" t="str">
            <v>1.0 - 8.0</v>
          </cell>
          <cell r="AZ215">
            <v>0</v>
          </cell>
        </row>
        <row r="216">
          <cell r="A216" t="str">
            <v>Axim Concrete Technologies - DURAFLUX 66</v>
          </cell>
          <cell r="V216" t="str">
            <v>8273</v>
          </cell>
          <cell r="AA216" t="str">
            <v>1.0 - 5.0</v>
          </cell>
          <cell r="AZ216" t="str">
            <v>5.0 - 8.0</v>
          </cell>
        </row>
        <row r="217">
          <cell r="A217" t="str">
            <v>Axim Concrete Technologies - DURAFLUX 77</v>
          </cell>
          <cell r="V217" t="str">
            <v>8273</v>
          </cell>
          <cell r="AZ217" t="str">
            <v>4.0 - 8.0</v>
          </cell>
        </row>
        <row r="218">
          <cell r="A218" t="str">
            <v>Axim Concrete Technologies - PAVEX</v>
          </cell>
          <cell r="V218" t="str">
            <v>8273</v>
          </cell>
          <cell r="AA218" t="str">
            <v>2.0 - 8.0</v>
          </cell>
          <cell r="AF218">
            <v>0</v>
          </cell>
          <cell r="AG218">
            <v>0</v>
          </cell>
          <cell r="AP218">
            <v>0</v>
          </cell>
        </row>
        <row r="219">
          <cell r="A219" t="str">
            <v>Axim Concrete Technologies - Stop Set L</v>
          </cell>
          <cell r="V219" t="str">
            <v>8273</v>
          </cell>
          <cell r="AF219" t="str">
            <v>1.0 - 5.0</v>
          </cell>
          <cell r="AP219" t="str">
            <v>1.0 - 5.0</v>
          </cell>
        </row>
        <row r="220">
          <cell r="A220" t="str">
            <v>Axim Concrete Technologies - SUPERFLUX 2000 PC</v>
          </cell>
          <cell r="V220" t="str">
            <v>8273</v>
          </cell>
          <cell r="AZ220" t="str">
            <v>3.0 - 10.0</v>
          </cell>
        </row>
        <row r="221">
          <cell r="A221" t="str">
            <v>Axim Concrete Technologies - SUPERFLUX 2100 PC</v>
          </cell>
          <cell r="V221" t="str">
            <v>8273</v>
          </cell>
          <cell r="AZ221" t="str">
            <v>3.0 - 10.0</v>
          </cell>
        </row>
        <row r="222">
          <cell r="A222" t="str">
            <v>BASF Construction Chemicals, LLC - DELVO ESC</v>
          </cell>
          <cell r="V222" t="str">
            <v>8265</v>
          </cell>
          <cell r="AF222" t="str">
            <v>0.19 - 0.31</v>
          </cell>
          <cell r="AP222" t="str">
            <v>0.19 - 0.31</v>
          </cell>
        </row>
        <row r="223">
          <cell r="A223" t="str">
            <v>BASF Construction Chemicals, LLC - DELVO STABLIZER</v>
          </cell>
          <cell r="V223" t="str">
            <v>8265</v>
          </cell>
          <cell r="AF223" t="str">
            <v>2.0 - 5.0</v>
          </cell>
          <cell r="AP223" t="str">
            <v>3.0 - 5.0</v>
          </cell>
        </row>
        <row r="224">
          <cell r="A224" t="str">
            <v>BASF Construction Chemicals, LLC - POLYHEED 997</v>
          </cell>
          <cell r="V224" t="str">
            <v>8265</v>
          </cell>
          <cell r="AA224" t="str">
            <v>3.0 - 6.0</v>
          </cell>
          <cell r="AZ224" t="str">
            <v>7.0 - 15.0</v>
          </cell>
        </row>
        <row r="225">
          <cell r="A225" t="str">
            <v>BASF Construction Chemicals, LLC - POLYHEED FC 100</v>
          </cell>
          <cell r="V225" t="str">
            <v>8265</v>
          </cell>
          <cell r="AA225" t="str">
            <v>8.0 - 30.0</v>
          </cell>
          <cell r="AK225" t="str">
            <v>8.0 30.0</v>
          </cell>
          <cell r="AU225" t="str">
            <v>8.0 - 30.0</v>
          </cell>
        </row>
        <row r="226">
          <cell r="A226" t="str">
            <v>BASF Construction Chemicals, LLC - POLYHEED 900</v>
          </cell>
          <cell r="V226" t="str">
            <v>8265</v>
          </cell>
          <cell r="AA226" t="str">
            <v>3.0 - 15.0</v>
          </cell>
        </row>
        <row r="227">
          <cell r="A227" t="str">
            <v>BASF Construction Chemicals, LLC - POLYHEED 1020</v>
          </cell>
          <cell r="V227" t="str">
            <v>8265</v>
          </cell>
          <cell r="AA227" t="str">
            <v>3.0 - 5.0</v>
          </cell>
          <cell r="AZ227" t="str">
            <v>6.0 - 12.0</v>
          </cell>
        </row>
        <row r="228">
          <cell r="A228" t="str">
            <v>BASF Construction Chemicals, LLC - POLYHEED 1025</v>
          </cell>
          <cell r="V228" t="str">
            <v>8265</v>
          </cell>
          <cell r="AA228" t="str">
            <v>3.0 - 5.0</v>
          </cell>
          <cell r="AZ228" t="str">
            <v>6.0 - 12.0</v>
          </cell>
        </row>
        <row r="229">
          <cell r="A229" t="str">
            <v>BASF Construction Chemicals, LLC - POLYHEED 1720</v>
          </cell>
          <cell r="V229" t="str">
            <v>8265</v>
          </cell>
          <cell r="AA229" t="str">
            <v>3.0 - 10.0</v>
          </cell>
          <cell r="AZ229" t="str">
            <v>10.0 - 12.0</v>
          </cell>
        </row>
        <row r="230">
          <cell r="A230" t="str">
            <v>BASF Construction Chemicals, LLC - POZZOLITH 80</v>
          </cell>
          <cell r="V230" t="str">
            <v>8265</v>
          </cell>
          <cell r="AA230" t="str">
            <v>3.0 - 5.0</v>
          </cell>
          <cell r="AF230" t="str">
            <v>5.0 - 10.0</v>
          </cell>
          <cell r="AP230" t="str">
            <v>5.0 - 10.0</v>
          </cell>
        </row>
        <row r="231">
          <cell r="A231" t="str">
            <v>BASF Construction Chemicals, LLC  - POZZOLITH 100-XR</v>
          </cell>
          <cell r="V231" t="str">
            <v>8265</v>
          </cell>
          <cell r="AF231" t="str">
            <v>1.0 - 4.0</v>
          </cell>
          <cell r="AP231" t="str">
            <v>1.0 - 4.0</v>
          </cell>
        </row>
        <row r="232">
          <cell r="A232" t="str">
            <v>BASF Construction Chemicals, LLC - POZZOLITH 200 N</v>
          </cell>
          <cell r="V232" t="str">
            <v>8265</v>
          </cell>
          <cell r="AA232" t="str">
            <v>2.0 - 5.0</v>
          </cell>
          <cell r="AF232" t="str">
            <v>2.0 - 5.0</v>
          </cell>
          <cell r="AP232" t="str">
            <v>2.0 - 6.0</v>
          </cell>
        </row>
        <row r="233">
          <cell r="A233" t="str">
            <v>BASF Construction Chemicals, LLC - POZZOLITH 322 N</v>
          </cell>
          <cell r="V233" t="str">
            <v>8265</v>
          </cell>
          <cell r="AA233" t="str">
            <v>3.0 - 4.0</v>
          </cell>
          <cell r="AF233" t="str">
            <v>5.0 - 7.0</v>
          </cell>
          <cell r="AP233" t="str">
            <v>5.0 - 7.0</v>
          </cell>
        </row>
        <row r="234">
          <cell r="A234" t="str">
            <v>BASF Construction Chemicals, LLC - POZZOLITH 700 N</v>
          </cell>
          <cell r="V234" t="str">
            <v>8265</v>
          </cell>
          <cell r="AA234" t="str">
            <v>3.0 - 5.0</v>
          </cell>
          <cell r="AF234" t="str">
            <v>5.0 - 7.0</v>
          </cell>
          <cell r="AP234" t="str">
            <v>5.0 - 7.0</v>
          </cell>
        </row>
        <row r="235">
          <cell r="A235" t="str">
            <v>BASF Construction Chemicals, LLC  - POZZOLITH NC 534</v>
          </cell>
          <cell r="V235" t="str">
            <v>8265</v>
          </cell>
          <cell r="AK235" t="str">
            <v>10.0 - 45.0</v>
          </cell>
        </row>
        <row r="236">
          <cell r="A236" t="str">
            <v>BASF Construction Chemicals, LLC - POZZUTEC 20+</v>
          </cell>
          <cell r="V236" t="str">
            <v>8265</v>
          </cell>
          <cell r="AK236" t="str">
            <v>5.0 - 90.0</v>
          </cell>
          <cell r="AU236" t="str">
            <v>30.0 - 90.0</v>
          </cell>
        </row>
        <row r="237">
          <cell r="A237" t="str">
            <v>BASF Construction Chemicals, LLC - PS 1466</v>
          </cell>
          <cell r="V237" t="str">
            <v>8265</v>
          </cell>
          <cell r="AA237" t="str">
            <v>2.0 - 4.0</v>
          </cell>
          <cell r="AZ237" t="str">
            <v>4.0 - 10.0</v>
          </cell>
        </row>
        <row r="238">
          <cell r="A238" t="str">
            <v>BASF Construction Chemicals, LLC - PS 1583</v>
          </cell>
          <cell r="V238" t="str">
            <v>8265</v>
          </cell>
          <cell r="AA238" t="str">
            <v>2.0 - 5.0</v>
          </cell>
          <cell r="AZ238" t="str">
            <v xml:space="preserve">5.0 - 15.0 </v>
          </cell>
        </row>
        <row r="239">
          <cell r="A239" t="str">
            <v>BASF Construction Chemicals, LLC - GLENIUM 3030 NS</v>
          </cell>
          <cell r="V239" t="str">
            <v>8265</v>
          </cell>
          <cell r="AA239" t="str">
            <v>1.0 - 3.0</v>
          </cell>
          <cell r="AZ239" t="str">
            <v>6.0 - 18.0</v>
          </cell>
        </row>
        <row r="240">
          <cell r="A240" t="str">
            <v>BASF Construction Chemicals, LLC - GLENIUM 3400 NV</v>
          </cell>
          <cell r="V240" t="str">
            <v>8265</v>
          </cell>
          <cell r="AZ240" t="str">
            <v>2.0 - 6.0</v>
          </cell>
        </row>
        <row r="241">
          <cell r="A241" t="str">
            <v>BASF Construction Chemicals, LLC - GLENIUM 7103</v>
          </cell>
          <cell r="V241" t="str">
            <v>8265</v>
          </cell>
          <cell r="AZ241" t="str">
            <v>3.0 - 15.0</v>
          </cell>
        </row>
        <row r="242">
          <cell r="A242" t="str">
            <v>BASF Construction Chemicals, LLC - GLENIUM 7500</v>
          </cell>
          <cell r="V242" t="str">
            <v>8265</v>
          </cell>
          <cell r="AA242" t="str">
            <v>2.0 - 3.0</v>
          </cell>
          <cell r="AZ242" t="str">
            <v>3.0 - 12.0</v>
          </cell>
        </row>
        <row r="243">
          <cell r="A243" t="str">
            <v>BASF Construction Chemicals, LLC - GLENIUM 7700</v>
          </cell>
          <cell r="V243" t="str">
            <v>8265</v>
          </cell>
          <cell r="AZ243" t="str">
            <v>4.0 - 12.0</v>
          </cell>
        </row>
        <row r="244">
          <cell r="A244" t="str">
            <v>BASF Construction Chemicals, LLC - RHEOBUILD 1000</v>
          </cell>
          <cell r="V244" t="str">
            <v>8265</v>
          </cell>
          <cell r="AZ244" t="str">
            <v>8.0 - 20.0</v>
          </cell>
        </row>
        <row r="245">
          <cell r="A245" t="str">
            <v>BASF Construction Chemicals, LLC. - RHEOCRETE CNI</v>
          </cell>
          <cell r="V245" t="str">
            <v>8265</v>
          </cell>
          <cell r="AK245" t="str">
            <v>50.0 - 150.0</v>
          </cell>
        </row>
        <row r="246">
          <cell r="A246" t="str">
            <v>BASF Corp. - STYROFAN 1186</v>
          </cell>
          <cell r="V246" t="str">
            <v>8275</v>
          </cell>
          <cell r="BR246" t="str">
            <v>3.5 gal / 94 lb</v>
          </cell>
        </row>
        <row r="247">
          <cell r="A247" t="str">
            <v>Chryso - CHRYSO ENVIROMIX 159</v>
          </cell>
          <cell r="V247" t="str">
            <v>8278</v>
          </cell>
          <cell r="AA247" t="str">
            <v>3.0 - 14.0</v>
          </cell>
          <cell r="AZ247" t="str">
            <v>12.0 - 20.0</v>
          </cell>
        </row>
        <row r="248">
          <cell r="A248" t="str">
            <v>Chryso - CHRYSO ENVIROMIX 300</v>
          </cell>
          <cell r="V248" t="str">
            <v>8278</v>
          </cell>
          <cell r="AA248" t="str">
            <v>3.0 - 14.0</v>
          </cell>
          <cell r="AZ248">
            <v>0</v>
          </cell>
        </row>
        <row r="249">
          <cell r="A249" t="str">
            <v>Chryso - CHRYSOFLUID OPTIMA 203</v>
          </cell>
          <cell r="V249" t="str">
            <v>8278</v>
          </cell>
          <cell r="AA249" t="str">
            <v>3.0 - 5.0</v>
          </cell>
          <cell r="AZ249" t="str">
            <v>4.5 - 46.0</v>
          </cell>
        </row>
        <row r="250">
          <cell r="A250" t="str">
            <v>Chryso - CHRYSOFLUID OPTIMA 256</v>
          </cell>
          <cell r="V250" t="str">
            <v>8278</v>
          </cell>
          <cell r="AA250" t="str">
            <v xml:space="preserve">2.0 - 7.0 </v>
          </cell>
          <cell r="AZ250">
            <v>0</v>
          </cell>
        </row>
        <row r="251">
          <cell r="A251" t="str">
            <v>Chryso - CHRYSOFLUID PREMIA 180</v>
          </cell>
          <cell r="V251" t="str">
            <v>8278</v>
          </cell>
          <cell r="AA251" t="str">
            <v>3.0 - 8.0</v>
          </cell>
          <cell r="AZ251" t="str">
            <v>6.0 - 20.0</v>
          </cell>
        </row>
        <row r="252">
          <cell r="A252" t="str">
            <v>Chryso - Chryso TURBOCAST 650A</v>
          </cell>
          <cell r="V252" t="str">
            <v>8278</v>
          </cell>
          <cell r="AK252" t="str">
            <v>8.0 - 54.0</v>
          </cell>
        </row>
        <row r="253">
          <cell r="A253" t="str">
            <v>DOW Reichold Specialty Latex LLC - DPS MODIFIER A</v>
          </cell>
          <cell r="V253" t="str">
            <v>8403</v>
          </cell>
          <cell r="BR253" t="str">
            <v>3.5 gal / 94 lb</v>
          </cell>
        </row>
        <row r="254">
          <cell r="A254" t="str">
            <v>Euclid Chemical Co - ACCELGUARD NCA</v>
          </cell>
          <cell r="V254" t="str">
            <v>8268</v>
          </cell>
          <cell r="AK254" t="str">
            <v>12.0 - 75.0</v>
          </cell>
          <cell r="AU254" t="str">
            <v>12.0 - 75.0</v>
          </cell>
        </row>
        <row r="255">
          <cell r="A255" t="str">
            <v>Euclid Chemical Co - ACCELGUARD 80</v>
          </cell>
          <cell r="V255" t="str">
            <v>8268</v>
          </cell>
          <cell r="AK255" t="str">
            <v>12.0 - 90.0</v>
          </cell>
          <cell r="AU255" t="str">
            <v>12.0 - 90.0</v>
          </cell>
        </row>
        <row r="256">
          <cell r="A256" t="str">
            <v>Euclid Chemical Co - ACCELGUARD 90</v>
          </cell>
          <cell r="V256" t="str">
            <v>8268</v>
          </cell>
          <cell r="AK256" t="str">
            <v>10.0 - 90.0</v>
          </cell>
          <cell r="AU256" t="str">
            <v>10.0 - 90.0</v>
          </cell>
        </row>
        <row r="257">
          <cell r="A257" t="str">
            <v>Euclid Chemical Co - EUCON A+</v>
          </cell>
          <cell r="V257" t="str">
            <v>8268</v>
          </cell>
          <cell r="AA257" t="str">
            <v>3.0 - 18.0</v>
          </cell>
        </row>
        <row r="258">
          <cell r="A258" t="str">
            <v>Euclid Chemical Co - EUCON CIA</v>
          </cell>
          <cell r="V258" t="str">
            <v>8268</v>
          </cell>
          <cell r="AK258" t="str">
            <v>10.0 - 90.0</v>
          </cell>
        </row>
        <row r="259">
          <cell r="A259" t="str">
            <v>Euclid Chemical Co - EUCON 37</v>
          </cell>
          <cell r="V259" t="str">
            <v>8268</v>
          </cell>
          <cell r="AZ259" t="str">
            <v>10.0 - 16.0</v>
          </cell>
        </row>
        <row r="260">
          <cell r="A260" t="str">
            <v>Euclid Chemical Co - EUCON MR</v>
          </cell>
          <cell r="V260" t="str">
            <v>8268</v>
          </cell>
          <cell r="AZ260" t="str">
            <v>10.0 - 15.0</v>
          </cell>
        </row>
        <row r="261">
          <cell r="A261" t="str">
            <v>Euclid Chemical Co - EUCON 727</v>
          </cell>
          <cell r="V261" t="str">
            <v>8268</v>
          </cell>
          <cell r="AP261" t="str">
            <v>0.5 - 2.7</v>
          </cell>
        </row>
        <row r="262">
          <cell r="A262" t="str">
            <v>Euclid Chemical Co - EUCON 1037</v>
          </cell>
          <cell r="V262" t="str">
            <v>8268</v>
          </cell>
          <cell r="AZ262" t="str">
            <v>10.0 - 25.0</v>
          </cell>
        </row>
        <row r="263">
          <cell r="A263" t="str">
            <v>Euclid Chemical Co - EUCON RETARDER 75</v>
          </cell>
          <cell r="V263" t="str">
            <v>8268</v>
          </cell>
          <cell r="AP263" t="str">
            <v>2.0 - 5.0</v>
          </cell>
        </row>
        <row r="264">
          <cell r="A264" t="str">
            <v>Euclid Chemical Co - EUCON RETARDER 100</v>
          </cell>
          <cell r="V264" t="str">
            <v>8268</v>
          </cell>
          <cell r="AP264" t="str">
            <v>2.0 - 6.0</v>
          </cell>
        </row>
        <row r="265">
          <cell r="A265" t="str">
            <v>Euclid Chemical Co - EUCON WR-91</v>
          </cell>
          <cell r="V265" t="str">
            <v>8268</v>
          </cell>
          <cell r="AA265" t="str">
            <v>2.0 - 6.0</v>
          </cell>
          <cell r="AF265" t="str">
            <v>6.0 - 10.0</v>
          </cell>
          <cell r="AP265" t="str">
            <v>6.0 - 10.0</v>
          </cell>
        </row>
        <row r="266">
          <cell r="A266" t="str">
            <v>Euclid Chemical Co - EUCON MR</v>
          </cell>
          <cell r="V266" t="str">
            <v>8268</v>
          </cell>
          <cell r="AA266" t="str">
            <v>4.0 - 10.0</v>
          </cell>
        </row>
        <row r="267">
          <cell r="A267" t="str">
            <v>Euclid Chemical Co - EUCON MRX</v>
          </cell>
          <cell r="V267" t="str">
            <v>8268</v>
          </cell>
          <cell r="AA267" t="str">
            <v>3.0 - 5.0</v>
          </cell>
          <cell r="AZ267" t="str">
            <v>7.0 - 12.0</v>
          </cell>
        </row>
        <row r="268">
          <cell r="A268" t="str">
            <v>Euclid Chemical Co - Plastol 341</v>
          </cell>
          <cell r="V268" t="str">
            <v>8268</v>
          </cell>
          <cell r="AA268" t="str">
            <v>2.0 - 6.0</v>
          </cell>
          <cell r="AZ268" t="str">
            <v>7.0 - 10.0</v>
          </cell>
        </row>
        <row r="269">
          <cell r="A269" t="str">
            <v>Euclid Chemical Co - Plastol 5000</v>
          </cell>
          <cell r="V269" t="str">
            <v>8268</v>
          </cell>
          <cell r="AZ269" t="str">
            <v>3.0 - 15.0</v>
          </cell>
        </row>
        <row r="270">
          <cell r="A270" t="str">
            <v>Euclid Chemical Co - Plastol 5700</v>
          </cell>
          <cell r="V270" t="str">
            <v>8268</v>
          </cell>
          <cell r="AZ270" t="str">
            <v>2.0 - 6.0</v>
          </cell>
        </row>
        <row r="271">
          <cell r="A271" t="str">
            <v>General Resources Technology, Inc. - KB-1000</v>
          </cell>
          <cell r="V271" t="str">
            <v>8280</v>
          </cell>
          <cell r="AA271" t="str">
            <v xml:space="preserve">3.0 - 10.0 </v>
          </cell>
        </row>
        <row r="272">
          <cell r="A272" t="str">
            <v>General Resources Technology, Inc. - KB-1200</v>
          </cell>
          <cell r="V272" t="str">
            <v>8280</v>
          </cell>
          <cell r="AA272" t="str">
            <v xml:space="preserve">3.0 - 12.0 </v>
          </cell>
        </row>
        <row r="273">
          <cell r="A273" t="str">
            <v>General Resources Technology, Inc. - MELCHEM</v>
          </cell>
          <cell r="V273" t="str">
            <v>8280</v>
          </cell>
          <cell r="AA273">
            <v>0</v>
          </cell>
          <cell r="AK273">
            <v>0</v>
          </cell>
          <cell r="AZ273" t="str">
            <v>8.0 - 25.0</v>
          </cell>
        </row>
        <row r="274">
          <cell r="A274" t="str">
            <v>General Resources Technology, Inc. - Polychem CI</v>
          </cell>
          <cell r="V274" t="str">
            <v>8280</v>
          </cell>
          <cell r="AA274">
            <v>0</v>
          </cell>
          <cell r="AK274" t="str">
            <v>8.0 - 90.0</v>
          </cell>
        </row>
        <row r="275">
          <cell r="A275" t="str">
            <v>General Resources Technology, Inc. - Polychem R</v>
          </cell>
          <cell r="V275" t="str">
            <v>8280</v>
          </cell>
          <cell r="AA275">
            <v>0</v>
          </cell>
          <cell r="AK275">
            <v>0</v>
          </cell>
          <cell r="AP275" t="str">
            <v>2.0 - 5.0</v>
          </cell>
        </row>
        <row r="276">
          <cell r="A276" t="str">
            <v>General Resources Technology, Inc. - Polychem SPC</v>
          </cell>
          <cell r="V276" t="str">
            <v>8280</v>
          </cell>
          <cell r="AA276">
            <v>0</v>
          </cell>
          <cell r="AK276">
            <v>0</v>
          </cell>
          <cell r="AZ276" t="str">
            <v>6.0 - 20.0</v>
          </cell>
        </row>
        <row r="277">
          <cell r="A277" t="str">
            <v>General Resources Technology, Inc. - Polychem SUPER SET</v>
          </cell>
          <cell r="V277" t="str">
            <v>8280</v>
          </cell>
          <cell r="AA277">
            <v>0</v>
          </cell>
          <cell r="AK277" t="str">
            <v>8.0 - 32.0</v>
          </cell>
        </row>
        <row r="278">
          <cell r="A278" t="str">
            <v>General Resources Technology, Inc. - Polychem 400NC</v>
          </cell>
          <cell r="V278" t="str">
            <v>8280</v>
          </cell>
          <cell r="AA278" t="str">
            <v>3.0 - 8.0</v>
          </cell>
        </row>
        <row r="279">
          <cell r="A279" t="str">
            <v>General Resources Technology, Inc. - Polychem 775</v>
          </cell>
          <cell r="V279" t="str">
            <v>8280</v>
          </cell>
          <cell r="AA279">
            <v>0</v>
          </cell>
          <cell r="AZ279" t="str">
            <v>6.0 - 20.0</v>
          </cell>
        </row>
        <row r="280">
          <cell r="A280" t="str">
            <v>Premiere Concrete Admixtures, LLC - Ecoflo GREEN</v>
          </cell>
          <cell r="V280" t="str">
            <v>8279</v>
          </cell>
          <cell r="AA280" t="str">
            <v>1.0 - 8.0</v>
          </cell>
        </row>
        <row r="281">
          <cell r="A281" t="str">
            <v>Premiere Concrete Admixtures, LLC - Ecoflo SCM-40</v>
          </cell>
          <cell r="V281" t="str">
            <v>8279</v>
          </cell>
          <cell r="AA281" t="str">
            <v>3.0 - 12.0</v>
          </cell>
        </row>
        <row r="282">
          <cell r="A282" t="str">
            <v>Premiere Concrete Admixtures, Nitrocast K</v>
          </cell>
          <cell r="V282" t="str">
            <v>8279</v>
          </cell>
          <cell r="AK282" t="str">
            <v>10.0 - 90.0</v>
          </cell>
        </row>
        <row r="283">
          <cell r="A283" t="str">
            <v>Premiere Concrete Admixtures, Nitrocast 701</v>
          </cell>
          <cell r="V283" t="str">
            <v>8279</v>
          </cell>
          <cell r="AK283" t="str">
            <v>16.0 - 90.0</v>
          </cell>
        </row>
        <row r="284">
          <cell r="A284" t="str">
            <v>Premiere Concrete Admixtures, LLC - Optiflo MR</v>
          </cell>
          <cell r="V284" t="str">
            <v>8279</v>
          </cell>
          <cell r="AA284" t="str">
            <v>4.0 - 12.0</v>
          </cell>
        </row>
        <row r="285">
          <cell r="A285" t="str">
            <v>Premiere Concrete Admixtures, LLC -Optiflo Plus</v>
          </cell>
          <cell r="V285" t="str">
            <v>8279</v>
          </cell>
          <cell r="AA285" t="str">
            <v>5.0 - 10.0</v>
          </cell>
        </row>
        <row r="286">
          <cell r="A286" t="str">
            <v>Premiere Concrete Admixtures, LLC -Optiflo Renu</v>
          </cell>
          <cell r="V286" t="str">
            <v>8279</v>
          </cell>
          <cell r="AP286" t="str">
            <v>3.0 - 6.0</v>
          </cell>
        </row>
        <row r="287">
          <cell r="A287" t="str">
            <v>Premiere Concrete Admixtures, LLC -Optiflo 50</v>
          </cell>
          <cell r="V287" t="str">
            <v>8279</v>
          </cell>
          <cell r="AA287" t="str">
            <v>3.0 - 8.0</v>
          </cell>
        </row>
        <row r="288">
          <cell r="A288" t="str">
            <v>Premiere Concrete Admixtures, LLC -Optiflo100R</v>
          </cell>
          <cell r="V288" t="str">
            <v>8279</v>
          </cell>
          <cell r="AP288" t="str">
            <v>3.0 - 8.0</v>
          </cell>
        </row>
        <row r="289">
          <cell r="A289" t="str">
            <v>Premiere Concrete Admixtures, LLC - Optiflo 500</v>
          </cell>
          <cell r="V289" t="str">
            <v>8279</v>
          </cell>
          <cell r="AA289" t="str">
            <v>2.0 - 4.0</v>
          </cell>
        </row>
        <row r="290">
          <cell r="A290" t="str">
            <v>Premiere Concrete Admixtures, LLC - Ultraflo 2000</v>
          </cell>
          <cell r="V290" t="str">
            <v>8279</v>
          </cell>
          <cell r="AA290" t="str">
            <v>2.0 - 4.0</v>
          </cell>
          <cell r="AZ290" t="str">
            <v xml:space="preserve">6.0 - 12.0 </v>
          </cell>
        </row>
        <row r="291">
          <cell r="A291" t="str">
            <v>Premiere Concrete Admixtures, LLC - Ultraflo 4600</v>
          </cell>
          <cell r="V291" t="str">
            <v>8279</v>
          </cell>
          <cell r="AZ291" t="str">
            <v xml:space="preserve">7.0 - 24.0 </v>
          </cell>
        </row>
        <row r="292">
          <cell r="A292" t="str">
            <v>Premiere Concrete Admixtures, LLC - Ultraflo DP</v>
          </cell>
          <cell r="V292" t="str">
            <v>8279</v>
          </cell>
          <cell r="AZ292" t="str">
            <v>4.0 - 14.0</v>
          </cell>
        </row>
        <row r="293">
          <cell r="A293" t="str">
            <v>Riechold Chemical - TYLAC 97-314</v>
          </cell>
          <cell r="V293" t="str">
            <v>8276</v>
          </cell>
          <cell r="BR293" t="str">
            <v>3.5 gal / 94 lb</v>
          </cell>
        </row>
        <row r="294">
          <cell r="A294" t="str">
            <v>Russtech Admixtures - FINISHEASE NC</v>
          </cell>
          <cell r="V294" t="str">
            <v>8272</v>
          </cell>
          <cell r="AA294" t="str">
            <v>3.0 - 12.0</v>
          </cell>
        </row>
        <row r="295">
          <cell r="A295" t="str">
            <v>Russtech Admixtures - LC-400P</v>
          </cell>
          <cell r="V295" t="str">
            <v>8272</v>
          </cell>
          <cell r="AA295" t="str">
            <v>3.0 - 5.0</v>
          </cell>
          <cell r="AP295" t="str">
            <v>5.0 - 8.0</v>
          </cell>
        </row>
        <row r="296">
          <cell r="A296" t="str">
            <v>Russtech Admixtures - LC-400R</v>
          </cell>
          <cell r="V296" t="str">
            <v>8272</v>
          </cell>
          <cell r="AF296" t="str">
            <v>3.0 - 6.0</v>
          </cell>
          <cell r="AP296" t="str">
            <v>3.0 - 6.0</v>
          </cell>
        </row>
        <row r="297">
          <cell r="A297" t="str">
            <v>Russtech Admixtures - LC-500</v>
          </cell>
          <cell r="V297" t="str">
            <v>8272</v>
          </cell>
          <cell r="AA297" t="str">
            <v>3.0 - 5.0</v>
          </cell>
          <cell r="AP297" t="str">
            <v xml:space="preserve">3.0 - 5.0 </v>
          </cell>
        </row>
        <row r="298">
          <cell r="A298" t="str">
            <v>Russtech Admixtures - LCNC-166</v>
          </cell>
          <cell r="V298" t="str">
            <v>8272</v>
          </cell>
          <cell r="AK298" t="str">
            <v>8.0 - 90.0</v>
          </cell>
          <cell r="AU298" t="str">
            <v>8.0 - 90.0</v>
          </cell>
        </row>
        <row r="299">
          <cell r="A299" t="str">
            <v>Russtech Admixtures - SUPERFLO 2000 RM</v>
          </cell>
          <cell r="V299" t="str">
            <v>8272</v>
          </cell>
          <cell r="AZ299" t="str">
            <v>7.0 - 20.0</v>
          </cell>
        </row>
        <row r="300">
          <cell r="A300" t="str">
            <v>Russtech Admixtures - SUPERFLO 2040 RM</v>
          </cell>
          <cell r="V300" t="str">
            <v>8272</v>
          </cell>
          <cell r="AA300" t="str">
            <v>1.0 - 3.0</v>
          </cell>
          <cell r="AZ300" t="str">
            <v>4.0 - 8.0</v>
          </cell>
        </row>
        <row r="301">
          <cell r="A301" t="str">
            <v>Sika Corp - PLASTIMENT</v>
          </cell>
          <cell r="V301" t="str">
            <v>9514</v>
          </cell>
          <cell r="AF301" t="str">
            <v>2.0 - 4.0</v>
          </cell>
          <cell r="AP301" t="str">
            <v>2.0 - 4.0</v>
          </cell>
        </row>
        <row r="302">
          <cell r="A302" t="str">
            <v>Sika Corp - PLASTIMENT ES</v>
          </cell>
          <cell r="V302" t="str">
            <v>9514</v>
          </cell>
          <cell r="AF302" t="str">
            <v>2.0 - 4.0</v>
          </cell>
          <cell r="AP302" t="str">
            <v>2.0 - 4.0</v>
          </cell>
        </row>
        <row r="303">
          <cell r="A303" t="str">
            <v>Sika Corp - PLASTIOCRETE 10N</v>
          </cell>
          <cell r="V303" t="str">
            <v>9514</v>
          </cell>
          <cell r="AA303" t="str">
            <v>1.5 - 5.0</v>
          </cell>
          <cell r="AF303" t="str">
            <v>3.5 - 5.0</v>
          </cell>
          <cell r="AP303" t="str">
            <v>3.5 - 5.0</v>
          </cell>
        </row>
        <row r="304">
          <cell r="A304" t="str">
            <v>Sika Corp - PLASTIOCRETE 80</v>
          </cell>
          <cell r="V304" t="str">
            <v>9514</v>
          </cell>
          <cell r="AA304" t="str">
            <v>2.0 - 6.0</v>
          </cell>
          <cell r="AF304" t="str">
            <v>4.0 - 6.0</v>
          </cell>
          <cell r="AP304" t="str">
            <v>4.0 - 6.0</v>
          </cell>
        </row>
        <row r="305">
          <cell r="A305" t="str">
            <v>Sika Corp - PLASTIOCRETE 161</v>
          </cell>
          <cell r="V305" t="str">
            <v>9514</v>
          </cell>
          <cell r="AA305" t="str">
            <v>2.0 - 6.0</v>
          </cell>
        </row>
        <row r="306">
          <cell r="A306" t="str">
            <v>Sika Corp - SIKASET NC</v>
          </cell>
          <cell r="V306" t="str">
            <v>9514</v>
          </cell>
          <cell r="AK306" t="str">
            <v>10.0 - 45.0</v>
          </cell>
          <cell r="AU306" t="str">
            <v>10.0 - 45.0</v>
          </cell>
        </row>
        <row r="307">
          <cell r="A307" t="str">
            <v>Sika Corp - SIKASET R.H.E.</v>
          </cell>
          <cell r="V307" t="str">
            <v>9514</v>
          </cell>
          <cell r="AK307" t="str">
            <v>5.0 - 15.0</v>
          </cell>
          <cell r="AU307" t="str">
            <v>5.0 - 60.0</v>
          </cell>
        </row>
        <row r="308">
          <cell r="A308" t="str">
            <v>Sika Corp - SIKATARD 440</v>
          </cell>
          <cell r="V308" t="str">
            <v>9514</v>
          </cell>
          <cell r="AF308" t="str">
            <v>2.0 - 8.0</v>
          </cell>
          <cell r="AK308">
            <v>0</v>
          </cell>
          <cell r="AU308">
            <v>0</v>
          </cell>
        </row>
        <row r="309">
          <cell r="A309" t="str">
            <v>Sika Corp - SIKAMENT 686</v>
          </cell>
          <cell r="V309" t="str">
            <v>9514</v>
          </cell>
          <cell r="AA309" t="str">
            <v>3.0 - 6.5</v>
          </cell>
          <cell r="AZ309" t="str">
            <v>6.0 - 12.0</v>
          </cell>
        </row>
        <row r="310">
          <cell r="A310" t="str">
            <v>Sika Corp - SIKAMENT SPMN</v>
          </cell>
          <cell r="V310" t="str">
            <v>9514</v>
          </cell>
          <cell r="AA310">
            <v>0</v>
          </cell>
          <cell r="AZ310" t="str">
            <v>10.0 - 40.0</v>
          </cell>
        </row>
        <row r="311">
          <cell r="A311" t="str">
            <v>Sika Corp - Sikaplast 200</v>
          </cell>
          <cell r="V311" t="str">
            <v>9514</v>
          </cell>
          <cell r="AA311" t="str">
            <v>3.0 - 12.0</v>
          </cell>
          <cell r="AZ311">
            <v>0</v>
          </cell>
          <cell r="BE311" t="str">
            <v>12.0 - 24.0</v>
          </cell>
        </row>
        <row r="312">
          <cell r="A312" t="str">
            <v>Sika Corp - Sikaplast 300GP</v>
          </cell>
          <cell r="V312" t="str">
            <v>9514</v>
          </cell>
          <cell r="AA312" t="str">
            <v>2.0 - 12.0</v>
          </cell>
          <cell r="AZ312">
            <v>0</v>
          </cell>
        </row>
        <row r="313">
          <cell r="A313" t="str">
            <v>Sika Corp - Sikaplast 500</v>
          </cell>
          <cell r="V313" t="str">
            <v>9514</v>
          </cell>
          <cell r="AA313" t="str">
            <v>3.0 - 6.0</v>
          </cell>
          <cell r="AZ313" t="str">
            <v>6.0 - 12.0</v>
          </cell>
        </row>
        <row r="314">
          <cell r="A314" t="str">
            <v>Sika Corp - VISCOCRETE 1000</v>
          </cell>
          <cell r="V314" t="str">
            <v>9514</v>
          </cell>
          <cell r="AZ314" t="str">
            <v>3.0 - 12.0</v>
          </cell>
        </row>
        <row r="315">
          <cell r="A315" t="str">
            <v>Sika Corp - VISCOCRETE 2100</v>
          </cell>
          <cell r="V315" t="str">
            <v>9514</v>
          </cell>
          <cell r="AZ315" t="str">
            <v>4.5 - 6.5</v>
          </cell>
        </row>
        <row r="316">
          <cell r="A316" t="str">
            <v>Sika Corp - VISCOCRETE 2110</v>
          </cell>
          <cell r="V316" t="str">
            <v>9514</v>
          </cell>
          <cell r="AA316" t="str">
            <v>1.0 - 4.0</v>
          </cell>
          <cell r="AZ316" t="str">
            <v>3.0 - 12.0</v>
          </cell>
        </row>
        <row r="317">
          <cell r="A317" t="str">
            <v>Sika Corp - VISCOCRETE 4100</v>
          </cell>
          <cell r="V317" t="str">
            <v>9514</v>
          </cell>
          <cell r="AZ317" t="str">
            <v>3.0 - 12.0</v>
          </cell>
        </row>
        <row r="318">
          <cell r="A318" t="str">
            <v>Sika Corp - Visocrete 6100</v>
          </cell>
          <cell r="V318" t="str">
            <v>9514</v>
          </cell>
          <cell r="AZ318" t="str">
            <v>3.0 - 8.0</v>
          </cell>
        </row>
        <row r="319">
          <cell r="A319" t="str">
            <v>W.R. Grace &amp; Co - ADVA 140M</v>
          </cell>
          <cell r="V319" t="str">
            <v>8266</v>
          </cell>
          <cell r="AA319" t="str">
            <v>4.0 - 7.0</v>
          </cell>
          <cell r="AZ319" t="str">
            <v>9.5 - 20.0</v>
          </cell>
        </row>
        <row r="320">
          <cell r="A320" t="str">
            <v>W.R. Grace &amp; Co - ADVA 190</v>
          </cell>
          <cell r="V320" t="str">
            <v>8266</v>
          </cell>
          <cell r="AZ320" t="str">
            <v>3.0 - 9.0</v>
          </cell>
        </row>
        <row r="321">
          <cell r="A321" t="str">
            <v>W.R. Grace &amp; Co - ADVA 408</v>
          </cell>
          <cell r="V321" t="str">
            <v>8266</v>
          </cell>
          <cell r="AZ321" t="str">
            <v>12.0 - 18.0</v>
          </cell>
        </row>
        <row r="322">
          <cell r="A322" t="str">
            <v>W.R. Grace &amp; Co - ADVA CAST 530</v>
          </cell>
          <cell r="V322" t="str">
            <v>8266</v>
          </cell>
          <cell r="AZ322" t="str">
            <v>3.0 - 10.0</v>
          </cell>
        </row>
        <row r="323">
          <cell r="A323" t="str">
            <v>W.R. Grace &amp; Co - ADVA CAST 555</v>
          </cell>
          <cell r="V323" t="str">
            <v>8266</v>
          </cell>
          <cell r="AZ323" t="str">
            <v>8.0 - 20.0</v>
          </cell>
        </row>
        <row r="324">
          <cell r="A324" t="str">
            <v>W.R. Grace &amp; Co - ADVA CAST 600</v>
          </cell>
          <cell r="V324" t="str">
            <v>8266</v>
          </cell>
          <cell r="AZ324" t="str">
            <v>3.0 - 10.0</v>
          </cell>
        </row>
        <row r="325">
          <cell r="A325" t="str">
            <v>W.R. Grace &amp; Co - ADVA Flex</v>
          </cell>
          <cell r="V325" t="str">
            <v>8266</v>
          </cell>
          <cell r="AZ325" t="str">
            <v>4.0 - 14.0</v>
          </cell>
        </row>
        <row r="326">
          <cell r="A326" t="str">
            <v>W.R. Grace &amp; Co - DARACHEM 19</v>
          </cell>
          <cell r="V326" t="str">
            <v>8266</v>
          </cell>
          <cell r="AZ326" t="str">
            <v>8.0 - 20.0</v>
          </cell>
        </row>
        <row r="327">
          <cell r="A327" t="str">
            <v>W.R. Grace &amp; Co - DARACHEM-65</v>
          </cell>
          <cell r="V327" t="str">
            <v>8266</v>
          </cell>
          <cell r="AA327" t="str">
            <v>3.0 - 9.0</v>
          </cell>
        </row>
        <row r="328">
          <cell r="A328" t="str">
            <v>W.R. Grace &amp; Co - DARACHEM-55</v>
          </cell>
          <cell r="V328" t="str">
            <v>8266</v>
          </cell>
          <cell r="AA328" t="str">
            <v>3.0 - 9.0</v>
          </cell>
        </row>
        <row r="329">
          <cell r="A329" t="str">
            <v>W.R. Grace &amp; Co - DARACHEM 100</v>
          </cell>
          <cell r="V329" t="str">
            <v>8266</v>
          </cell>
          <cell r="AZ329">
            <v>0</v>
          </cell>
          <cell r="BE329" t="str">
            <v>12.0 - 20.0</v>
          </cell>
        </row>
        <row r="330">
          <cell r="A330" t="str">
            <v>W.R. Grace &amp; Co - DARASET 200</v>
          </cell>
          <cell r="V330" t="str">
            <v>8266</v>
          </cell>
          <cell r="AK330" t="str">
            <v>10.0 - 60.0</v>
          </cell>
        </row>
        <row r="331">
          <cell r="A331" t="str">
            <v>W.R. Grace &amp; Co - DARASET 400</v>
          </cell>
          <cell r="V331" t="str">
            <v>8266</v>
          </cell>
          <cell r="AK331" t="str">
            <v>10.0 - 60.0</v>
          </cell>
        </row>
        <row r="332">
          <cell r="A332" t="str">
            <v>W.R. Grace &amp; Co - DARATARD 17</v>
          </cell>
          <cell r="V332" t="str">
            <v>8266</v>
          </cell>
          <cell r="AP332" t="str">
            <v>2.0 - 8.0</v>
          </cell>
        </row>
        <row r="333">
          <cell r="A333" t="str">
            <v>W.R. Grace &amp; Co - DARATARD HC</v>
          </cell>
          <cell r="V333" t="str">
            <v>8266</v>
          </cell>
          <cell r="AP333" t="str">
            <v>2.0 - 4.0</v>
          </cell>
        </row>
        <row r="334">
          <cell r="A334" t="str">
            <v>W.R. Grace &amp; Co - MIRA 35</v>
          </cell>
          <cell r="V334" t="str">
            <v>8266</v>
          </cell>
          <cell r="AA334" t="str">
            <v>3.0 - 12.0</v>
          </cell>
        </row>
        <row r="335">
          <cell r="A335" t="str">
            <v>W.R. Grace &amp; Co - MIRA 62</v>
          </cell>
          <cell r="V335" t="str">
            <v>8266</v>
          </cell>
          <cell r="AA335" t="str">
            <v>2.0 - 6.0</v>
          </cell>
          <cell r="AZ335" t="str">
            <v>6.0 - 15.0</v>
          </cell>
        </row>
        <row r="336">
          <cell r="A336" t="str">
            <v>W.R. Grace &amp; Co - MIRA 85</v>
          </cell>
          <cell r="V336" t="str">
            <v>8266</v>
          </cell>
          <cell r="AA336" t="str">
            <v>3.0 - 8.0</v>
          </cell>
          <cell r="AZ336" t="str">
            <v>10.0 - 12.0</v>
          </cell>
        </row>
        <row r="337">
          <cell r="A337" t="str">
            <v>W.R. Grace &amp; Co - MIRA 110</v>
          </cell>
          <cell r="V337" t="str">
            <v>8266</v>
          </cell>
          <cell r="AA337" t="str">
            <v>3.0 - 5.0</v>
          </cell>
          <cell r="AZ337" t="str">
            <v>10.0 - 15.0</v>
          </cell>
        </row>
        <row r="338">
          <cell r="A338" t="str">
            <v>W.R. Grace &amp; Co - POLARSET</v>
          </cell>
          <cell r="V338" t="str">
            <v>8266</v>
          </cell>
          <cell r="AK338" t="str">
            <v>8.0 - 60.0</v>
          </cell>
        </row>
        <row r="339">
          <cell r="A339" t="str">
            <v>W.R. Grace &amp; Co - WRDA with HYCOL</v>
          </cell>
          <cell r="V339" t="str">
            <v>8266</v>
          </cell>
          <cell r="AA339" t="str">
            <v>3.0 - 5.0</v>
          </cell>
        </row>
        <row r="340">
          <cell r="A340" t="str">
            <v>W.R. Grace &amp; Co - WRDA PAVE 18</v>
          </cell>
          <cell r="V340" t="str">
            <v>8266</v>
          </cell>
          <cell r="AA340" t="str">
            <v>3.0 - 6.0</v>
          </cell>
          <cell r="AF340">
            <v>0</v>
          </cell>
          <cell r="AP340">
            <v>0</v>
          </cell>
        </row>
        <row r="341">
          <cell r="A341" t="str">
            <v>W.R. Grace &amp; Co - WRDA-20</v>
          </cell>
          <cell r="V341" t="str">
            <v>8266</v>
          </cell>
          <cell r="AA341" t="str">
            <v>2.0 - 4.0</v>
          </cell>
          <cell r="AF341" t="str">
            <v>3.0 - 5.0</v>
          </cell>
          <cell r="AP341" t="str">
            <v>3.0 - 5.0</v>
          </cell>
        </row>
        <row r="342">
          <cell r="A342" t="str">
            <v>W.R. Grace &amp; Co - WRDA-64</v>
          </cell>
          <cell r="V342" t="str">
            <v>8266</v>
          </cell>
          <cell r="AA342" t="str">
            <v>2.0 - 4.0</v>
          </cell>
          <cell r="AP342" t="str">
            <v>4.0 - 6.0</v>
          </cell>
        </row>
        <row r="343">
          <cell r="A343" t="str">
            <v>W.R. Grace &amp; Co - RECOVER</v>
          </cell>
          <cell r="V343" t="str">
            <v>8266</v>
          </cell>
          <cell r="AP343" t="str">
            <v>2.0 - 6.0</v>
          </cell>
        </row>
        <row r="344">
          <cell r="A344" t="str">
            <v>W.R. Grace &amp; Co - WRDA 82</v>
          </cell>
          <cell r="V344" t="str">
            <v>8266</v>
          </cell>
          <cell r="AA344" t="str">
            <v>3.0 - 6.0</v>
          </cell>
        </row>
        <row r="345">
          <cell r="A345" t="str">
            <v>W.R. Grace &amp; Co - WRDA 27</v>
          </cell>
          <cell r="V345" t="str">
            <v>8266</v>
          </cell>
          <cell r="AA345">
            <v>0</v>
          </cell>
        </row>
        <row r="346">
          <cell r="A346" t="str">
            <v>W.R. Grace &amp; Co - Zyla 630</v>
          </cell>
          <cell r="V346" t="str">
            <v>8266</v>
          </cell>
          <cell r="AA346" t="str">
            <v>3.0 - 5.0</v>
          </cell>
        </row>
        <row r="347">
          <cell r="A347" t="str">
            <v>W.R. Grace &amp; Co - Zyla R</v>
          </cell>
          <cell r="V347" t="str">
            <v>8266</v>
          </cell>
          <cell r="AF347" t="str">
            <v>2.0 - 8.0</v>
          </cell>
          <cell r="AP347" t="str">
            <v>2.0 - 8.0</v>
          </cell>
        </row>
        <row r="350">
          <cell r="A350" t="str">
            <v>CALCIUM CHLORIDE</v>
          </cell>
        </row>
        <row r="351">
          <cell r="A351" t="str">
            <v>% Solution</v>
          </cell>
          <cell r="F351" t="str">
            <v>Ilbs of solids</v>
          </cell>
          <cell r="K351" t="str">
            <v>lbs. of water</v>
          </cell>
        </row>
        <row r="352">
          <cell r="A352">
            <v>5</v>
          </cell>
          <cell r="F352" t="str">
            <v>0.44</v>
          </cell>
          <cell r="K352">
            <v>8.2799999999999994</v>
          </cell>
        </row>
        <row r="353">
          <cell r="A353">
            <v>6</v>
          </cell>
          <cell r="F353" t="str">
            <v>0.53</v>
          </cell>
          <cell r="K353">
            <v>8.27</v>
          </cell>
        </row>
        <row r="354">
          <cell r="A354">
            <v>7</v>
          </cell>
          <cell r="F354" t="str">
            <v>0.62</v>
          </cell>
          <cell r="K354">
            <v>8.25</v>
          </cell>
        </row>
        <row r="355">
          <cell r="A355">
            <v>8</v>
          </cell>
          <cell r="F355" t="str">
            <v>0.72</v>
          </cell>
          <cell r="K355">
            <v>8.23</v>
          </cell>
        </row>
        <row r="356">
          <cell r="A356">
            <v>9</v>
          </cell>
          <cell r="F356" t="str">
            <v>0.81</v>
          </cell>
          <cell r="K356">
            <v>8.2100000000000009</v>
          </cell>
        </row>
        <row r="357">
          <cell r="A357" t="str">
            <v>10</v>
          </cell>
          <cell r="F357" t="str">
            <v>0.91</v>
          </cell>
          <cell r="K357">
            <v>8.15</v>
          </cell>
        </row>
        <row r="358">
          <cell r="A358" t="str">
            <v>11</v>
          </cell>
          <cell r="F358" t="str">
            <v>1.01</v>
          </cell>
          <cell r="K358">
            <v>8.1300000000000008</v>
          </cell>
        </row>
        <row r="359">
          <cell r="A359" t="str">
            <v>12</v>
          </cell>
          <cell r="F359" t="str">
            <v>1.11</v>
          </cell>
          <cell r="K359">
            <v>8.11</v>
          </cell>
        </row>
        <row r="360">
          <cell r="A360" t="str">
            <v>13</v>
          </cell>
          <cell r="F360" t="str">
            <v>1.21</v>
          </cell>
          <cell r="K360">
            <v>8.1</v>
          </cell>
        </row>
        <row r="361">
          <cell r="A361" t="str">
            <v>14</v>
          </cell>
          <cell r="F361" t="str">
            <v>1.31</v>
          </cell>
          <cell r="K361">
            <v>8.07</v>
          </cell>
        </row>
        <row r="362">
          <cell r="A362" t="str">
            <v>15</v>
          </cell>
          <cell r="F362" t="str">
            <v>1.42</v>
          </cell>
          <cell r="K362">
            <v>8.0500000000000007</v>
          </cell>
        </row>
        <row r="363">
          <cell r="A363" t="str">
            <v>16</v>
          </cell>
          <cell r="F363" t="str">
            <v>1.53</v>
          </cell>
          <cell r="K363">
            <v>8.02</v>
          </cell>
        </row>
        <row r="364">
          <cell r="A364" t="str">
            <v>17</v>
          </cell>
          <cell r="F364" t="str">
            <v>1.64</v>
          </cell>
          <cell r="K364">
            <v>7.99</v>
          </cell>
        </row>
        <row r="365">
          <cell r="A365" t="str">
            <v>18</v>
          </cell>
          <cell r="F365" t="str">
            <v>1.75</v>
          </cell>
          <cell r="K365">
            <v>7.96</v>
          </cell>
        </row>
        <row r="366">
          <cell r="A366" t="str">
            <v>19</v>
          </cell>
          <cell r="F366" t="str">
            <v>1.86</v>
          </cell>
          <cell r="K366">
            <v>7.94</v>
          </cell>
        </row>
        <row r="367">
          <cell r="A367" t="str">
            <v>20</v>
          </cell>
          <cell r="F367" t="str">
            <v>1.98</v>
          </cell>
          <cell r="K367">
            <v>7.9</v>
          </cell>
        </row>
        <row r="368">
          <cell r="A368" t="str">
            <v>21</v>
          </cell>
          <cell r="F368" t="str">
            <v>2.09</v>
          </cell>
          <cell r="K368">
            <v>7.87</v>
          </cell>
        </row>
        <row r="369">
          <cell r="A369" t="str">
            <v>22</v>
          </cell>
          <cell r="F369" t="str">
            <v>2.21</v>
          </cell>
          <cell r="K369">
            <v>7.84</v>
          </cell>
        </row>
        <row r="370">
          <cell r="A370" t="str">
            <v>23</v>
          </cell>
          <cell r="F370" t="str">
            <v>2.33</v>
          </cell>
          <cell r="K370">
            <v>7.8</v>
          </cell>
        </row>
        <row r="371">
          <cell r="A371" t="str">
            <v>24</v>
          </cell>
          <cell r="F371" t="str">
            <v>2.45</v>
          </cell>
          <cell r="K371">
            <v>7.75</v>
          </cell>
        </row>
        <row r="372">
          <cell r="A372" t="str">
            <v>25</v>
          </cell>
          <cell r="F372" t="str">
            <v>2.58</v>
          </cell>
          <cell r="K372">
            <v>7.72</v>
          </cell>
        </row>
        <row r="373">
          <cell r="A373" t="str">
            <v>26</v>
          </cell>
          <cell r="F373" t="str">
            <v>2.7</v>
          </cell>
          <cell r="K373">
            <v>7.7</v>
          </cell>
        </row>
        <row r="374">
          <cell r="A374" t="str">
            <v>27</v>
          </cell>
          <cell r="F374" t="str">
            <v>2.84</v>
          </cell>
          <cell r="K374">
            <v>7.66</v>
          </cell>
        </row>
        <row r="375">
          <cell r="A375" t="str">
            <v>28</v>
          </cell>
          <cell r="F375" t="str">
            <v>2.97</v>
          </cell>
          <cell r="K375">
            <v>7.63</v>
          </cell>
        </row>
        <row r="376">
          <cell r="A376" t="str">
            <v>29</v>
          </cell>
          <cell r="F376" t="str">
            <v>3.10</v>
          </cell>
          <cell r="K376">
            <v>7.59</v>
          </cell>
        </row>
        <row r="377">
          <cell r="A377" t="str">
            <v>29.6</v>
          </cell>
          <cell r="F377" t="str">
            <v>3.18</v>
          </cell>
          <cell r="K377">
            <v>7.57</v>
          </cell>
        </row>
        <row r="378">
          <cell r="A378" t="str">
            <v>30</v>
          </cell>
          <cell r="F378" t="str">
            <v>3.24</v>
          </cell>
          <cell r="K378">
            <v>7.55</v>
          </cell>
        </row>
        <row r="379">
          <cell r="A379" t="str">
            <v>31</v>
          </cell>
          <cell r="F379" t="str">
            <v>3.38</v>
          </cell>
          <cell r="K379">
            <v>7.51</v>
          </cell>
        </row>
        <row r="380">
          <cell r="A380" t="str">
            <v>32</v>
          </cell>
          <cell r="F380" t="str">
            <v>3.52</v>
          </cell>
          <cell r="K380">
            <v>7.47</v>
          </cell>
        </row>
        <row r="381">
          <cell r="A381" t="str">
            <v>33</v>
          </cell>
          <cell r="F381" t="str">
            <v>3.66</v>
          </cell>
          <cell r="K381">
            <v>7.43</v>
          </cell>
        </row>
        <row r="382">
          <cell r="A382" t="str">
            <v>34</v>
          </cell>
          <cell r="F382" t="str">
            <v>3.80</v>
          </cell>
          <cell r="K382">
            <v>7.38</v>
          </cell>
        </row>
        <row r="383">
          <cell r="A383" t="str">
            <v>35</v>
          </cell>
          <cell r="F383" t="str">
            <v>3.95</v>
          </cell>
          <cell r="K383">
            <v>7.33</v>
          </cell>
        </row>
        <row r="384">
          <cell r="A384" t="str">
            <v>36</v>
          </cell>
          <cell r="F384" t="str">
            <v>4.10</v>
          </cell>
          <cell r="K384">
            <v>7.28</v>
          </cell>
        </row>
        <row r="385">
          <cell r="A385" t="str">
            <v>37</v>
          </cell>
          <cell r="F385" t="str">
            <v>4.25</v>
          </cell>
          <cell r="K385">
            <v>7.23</v>
          </cell>
        </row>
        <row r="386">
          <cell r="A386" t="str">
            <v>38</v>
          </cell>
          <cell r="F386" t="str">
            <v>4.40</v>
          </cell>
          <cell r="K386">
            <v>7.17</v>
          </cell>
        </row>
        <row r="387">
          <cell r="A387" t="str">
            <v>39</v>
          </cell>
          <cell r="F387" t="str">
            <v>4.55</v>
          </cell>
          <cell r="K387">
            <v>7.12</v>
          </cell>
        </row>
        <row r="388">
          <cell r="A388" t="str">
            <v>40</v>
          </cell>
          <cell r="F388" t="str">
            <v>4.71</v>
          </cell>
          <cell r="K388">
            <v>7.06</v>
          </cell>
        </row>
        <row r="389">
          <cell r="A389" t="str">
            <v>41</v>
          </cell>
          <cell r="F389" t="str">
            <v>4.87</v>
          </cell>
          <cell r="K389">
            <v>7</v>
          </cell>
        </row>
        <row r="390">
          <cell r="A390" t="str">
            <v>42</v>
          </cell>
          <cell r="F390" t="str">
            <v>5.02</v>
          </cell>
          <cell r="K390">
            <v>6.94</v>
          </cell>
        </row>
        <row r="391">
          <cell r="A391" t="str">
            <v>45</v>
          </cell>
          <cell r="F391" t="str">
            <v>5.51</v>
          </cell>
          <cell r="K391">
            <v>6.74</v>
          </cell>
        </row>
      </sheetData>
      <sheetData sheetId="2" refreshError="1"/>
      <sheetData sheetId="3" refreshError="1"/>
      <sheetData sheetId="4">
        <row r="131">
          <cell r="AM131" t="str">
            <v>Misc AGG</v>
          </cell>
          <cell r="AT131" t="str">
            <v>SM CODE</v>
          </cell>
        </row>
        <row r="132">
          <cell r="AK132" t="str">
            <v>CA, Class A, CS, QA</v>
          </cell>
          <cell r="AT132" t="str">
            <v>904M00770</v>
          </cell>
        </row>
        <row r="133">
          <cell r="AK133" t="str">
            <v>CA, Class A, Gvl QA</v>
          </cell>
          <cell r="AT133" t="str">
            <v>904M00880</v>
          </cell>
        </row>
        <row r="134">
          <cell r="AK134" t="str">
            <v>CA, CS Recycle PCC, #5</v>
          </cell>
          <cell r="AT134" t="str">
            <v>904M05315</v>
          </cell>
        </row>
        <row r="135">
          <cell r="AK135" t="str">
            <v>CA, Miscellaneous</v>
          </cell>
          <cell r="AT135" t="str">
            <v>904M05330</v>
          </cell>
        </row>
        <row r="136">
          <cell r="AK136" t="str">
            <v>CA, Lightweight</v>
          </cell>
          <cell r="AT136" t="str">
            <v>904M05630</v>
          </cell>
        </row>
        <row r="137">
          <cell r="AK137" t="str">
            <v>FA, NS, QA</v>
          </cell>
          <cell r="AT137" t="str">
            <v>904M06040</v>
          </cell>
        </row>
        <row r="138">
          <cell r="AK138" t="str">
            <v>FA, CS, 23</v>
          </cell>
          <cell r="AT138" t="str">
            <v>904M06220</v>
          </cell>
        </row>
        <row r="139">
          <cell r="AK139" t="str">
            <v>FA, CS, QA</v>
          </cell>
          <cell r="AT139" t="str">
            <v>904M06240</v>
          </cell>
        </row>
        <row r="140">
          <cell r="AK140" t="str">
            <v>FA, Miscellaneous</v>
          </cell>
          <cell r="AT140" t="str">
            <v>904M06806</v>
          </cell>
        </row>
        <row r="141">
          <cell r="AK141" t="str">
            <v>FA, Lightweight</v>
          </cell>
          <cell r="AT141" t="str">
            <v>904M06815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CN208"/>
  <sheetViews>
    <sheetView topLeftCell="A10" workbookViewId="0">
      <selection activeCell="K22" sqref="K22:N22"/>
    </sheetView>
  </sheetViews>
  <sheetFormatPr defaultRowHeight="12.75" x14ac:dyDescent="0.2"/>
  <cols>
    <col min="1" max="2" width="3.140625" customWidth="1"/>
    <col min="3" max="3" width="5.85546875" customWidth="1"/>
    <col min="4" max="4" width="3.140625" customWidth="1"/>
    <col min="5" max="5" width="3.42578125" customWidth="1"/>
    <col min="6" max="7" width="3.140625" customWidth="1"/>
    <col min="8" max="8" width="3.28515625" customWidth="1"/>
    <col min="9" max="9" width="2.42578125" customWidth="1"/>
    <col min="10" max="22" width="3.140625" customWidth="1"/>
    <col min="23" max="23" width="5.7109375" customWidth="1"/>
    <col min="24" max="24" width="1.28515625" hidden="1" customWidth="1"/>
    <col min="25" max="27" width="3.140625" customWidth="1"/>
    <col min="28" max="28" width="1.5703125" customWidth="1"/>
    <col min="29" max="29" width="7.140625" customWidth="1"/>
    <col min="30" max="32" width="3.140625" style="59" customWidth="1"/>
    <col min="33" max="92" width="9.140625" style="59"/>
  </cols>
  <sheetData>
    <row r="1" spans="1:92" ht="20.25" x14ac:dyDescent="0.3">
      <c r="A1" s="359" t="s">
        <v>95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</row>
    <row r="2" spans="1:92" x14ac:dyDescent="0.2">
      <c r="A2" t="s">
        <v>5</v>
      </c>
      <c r="C2" s="368"/>
      <c r="D2" s="329"/>
      <c r="E2" s="329"/>
      <c r="G2" t="s">
        <v>6</v>
      </c>
      <c r="J2" s="364" t="e">
        <f>#REF!</f>
        <v>#REF!</v>
      </c>
      <c r="K2" s="224"/>
      <c r="L2" s="224"/>
      <c r="M2" t="s">
        <v>7</v>
      </c>
      <c r="P2" s="364" t="e">
        <f>#REF!</f>
        <v>#REF!</v>
      </c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</row>
    <row r="3" spans="1:92" x14ac:dyDescent="0.2">
      <c r="A3" t="s">
        <v>8</v>
      </c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</row>
    <row r="4" spans="1:92" x14ac:dyDescent="0.2">
      <c r="A4" t="s">
        <v>9</v>
      </c>
      <c r="F4" s="369" t="e">
        <f>#REF!</f>
        <v>#REF!</v>
      </c>
      <c r="G4" s="369"/>
      <c r="H4" s="369"/>
      <c r="I4" s="369"/>
      <c r="J4" s="369"/>
      <c r="K4" s="369"/>
      <c r="L4" s="369"/>
      <c r="M4" s="369"/>
    </row>
    <row r="5" spans="1:92" x14ac:dyDescent="0.2">
      <c r="A5" s="33" t="s">
        <v>10</v>
      </c>
      <c r="W5" s="283"/>
      <c r="X5" s="283"/>
      <c r="Y5" s="283"/>
      <c r="Z5" s="283"/>
      <c r="AA5" s="283"/>
      <c r="AB5" s="283"/>
    </row>
    <row r="6" spans="1:92" x14ac:dyDescent="0.2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</row>
    <row r="7" spans="1:92" x14ac:dyDescent="0.2">
      <c r="A7" t="s">
        <v>11</v>
      </c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</row>
    <row r="8" spans="1:92" x14ac:dyDescent="0.2">
      <c r="A8" s="283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</row>
    <row r="10" spans="1:92" ht="15.75" x14ac:dyDescent="0.25">
      <c r="A10" s="200" t="s">
        <v>12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2"/>
      <c r="W10" s="202"/>
      <c r="X10" s="202"/>
      <c r="Y10" s="202"/>
      <c r="Z10" s="202"/>
      <c r="AA10" s="202"/>
      <c r="AB10" s="202"/>
    </row>
    <row r="11" spans="1:92" s="4" customFormat="1" ht="15.75" customHeight="1" x14ac:dyDescent="0.2">
      <c r="A11" s="383"/>
      <c r="B11" s="215"/>
      <c r="C11" s="215"/>
      <c r="D11" s="215"/>
      <c r="E11" s="215"/>
      <c r="F11" s="215"/>
      <c r="G11" s="216"/>
      <c r="H11" s="6"/>
      <c r="I11" s="7"/>
      <c r="J11" s="8"/>
      <c r="K11" s="217" t="s">
        <v>73</v>
      </c>
      <c r="L11" s="215"/>
      <c r="M11" s="215"/>
      <c r="N11" s="216"/>
      <c r="O11" s="217"/>
      <c r="P11" s="215"/>
      <c r="Q11" s="216"/>
      <c r="R11" s="217" t="s">
        <v>73</v>
      </c>
      <c r="S11" s="215"/>
      <c r="T11" s="215"/>
      <c r="U11" s="216"/>
      <c r="V11" s="214" t="s">
        <v>15</v>
      </c>
      <c r="W11" s="215"/>
      <c r="X11" s="216"/>
      <c r="Y11" s="217" t="s">
        <v>73</v>
      </c>
      <c r="Z11" s="215"/>
      <c r="AA11" s="215"/>
      <c r="AB11" s="218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</row>
    <row r="12" spans="1:92" s="4" customFormat="1" x14ac:dyDescent="0.2">
      <c r="A12" s="380" t="s">
        <v>13</v>
      </c>
      <c r="B12" s="219"/>
      <c r="C12" s="219"/>
      <c r="D12" s="219"/>
      <c r="E12" s="219"/>
      <c r="F12" s="219"/>
      <c r="G12" s="220"/>
      <c r="H12" s="249" t="s">
        <v>1</v>
      </c>
      <c r="I12" s="219"/>
      <c r="J12" s="220"/>
      <c r="K12" s="221" t="s">
        <v>14</v>
      </c>
      <c r="L12" s="222"/>
      <c r="M12" s="222"/>
      <c r="N12" s="366"/>
      <c r="O12" s="249" t="s">
        <v>15</v>
      </c>
      <c r="P12" s="219"/>
      <c r="Q12" s="220"/>
      <c r="R12" s="221" t="s">
        <v>16</v>
      </c>
      <c r="S12" s="222"/>
      <c r="T12" s="222"/>
      <c r="U12" s="366"/>
      <c r="V12" s="219" t="s">
        <v>119</v>
      </c>
      <c r="W12" s="219"/>
      <c r="X12" s="220"/>
      <c r="Y12" s="221" t="s">
        <v>16</v>
      </c>
      <c r="Z12" s="222"/>
      <c r="AA12" s="222"/>
      <c r="AB12" s="223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</row>
    <row r="13" spans="1:92" x14ac:dyDescent="0.2">
      <c r="A13" s="396"/>
      <c r="B13" s="224"/>
      <c r="C13" s="224"/>
      <c r="D13" s="224"/>
      <c r="E13" s="224"/>
      <c r="F13" s="224"/>
      <c r="G13" s="225"/>
      <c r="H13" s="226" t="s">
        <v>17</v>
      </c>
      <c r="I13" s="224"/>
      <c r="J13" s="225"/>
      <c r="K13" s="226" t="s">
        <v>18</v>
      </c>
      <c r="L13" s="224"/>
      <c r="M13" s="224"/>
      <c r="N13" s="225"/>
      <c r="O13" s="226" t="s">
        <v>17</v>
      </c>
      <c r="P13" s="224"/>
      <c r="Q13" s="225"/>
      <c r="R13" s="226" t="s">
        <v>18</v>
      </c>
      <c r="S13" s="224"/>
      <c r="T13" s="224"/>
      <c r="U13" s="225"/>
      <c r="V13" s="224" t="s">
        <v>17</v>
      </c>
      <c r="W13" s="224"/>
      <c r="X13" s="225"/>
      <c r="Y13" s="226" t="s">
        <v>119</v>
      </c>
      <c r="Z13" s="224"/>
      <c r="AA13" s="224"/>
      <c r="AB13" s="227"/>
    </row>
    <row r="14" spans="1:92" ht="12.6" customHeight="1" x14ac:dyDescent="0.2">
      <c r="A14" s="365" t="s">
        <v>19</v>
      </c>
      <c r="B14" s="209"/>
      <c r="C14" s="209"/>
      <c r="D14" s="209"/>
      <c r="E14" s="209"/>
      <c r="F14" s="209"/>
      <c r="G14" s="210"/>
      <c r="H14" s="208" t="e">
        <f>#REF!</f>
        <v>#REF!</v>
      </c>
      <c r="I14" s="236"/>
      <c r="J14" s="237"/>
      <c r="K14" s="211"/>
      <c r="L14" s="209"/>
      <c r="M14" s="209"/>
      <c r="N14" s="210"/>
      <c r="O14" s="208" t="e">
        <f>H14</f>
        <v>#REF!</v>
      </c>
      <c r="P14" s="209"/>
      <c r="Q14" s="210"/>
      <c r="R14" s="211" t="s">
        <v>20</v>
      </c>
      <c r="S14" s="209"/>
      <c r="T14" s="209"/>
      <c r="U14" s="210"/>
      <c r="V14" s="208" t="e">
        <f>O14</f>
        <v>#REF!</v>
      </c>
      <c r="W14" s="209"/>
      <c r="X14" s="210"/>
      <c r="Y14" s="211" t="s">
        <v>20</v>
      </c>
      <c r="Z14" s="209"/>
      <c r="AA14" s="209"/>
      <c r="AB14" s="212"/>
    </row>
    <row r="15" spans="1:92" ht="12.6" customHeight="1" x14ac:dyDescent="0.2">
      <c r="A15" s="365" t="s">
        <v>75</v>
      </c>
      <c r="B15" s="209"/>
      <c r="C15" s="209"/>
      <c r="D15" s="209"/>
      <c r="E15" s="209"/>
      <c r="F15" s="209"/>
      <c r="G15" s="210"/>
      <c r="H15" s="213" t="e">
        <f>#REF!</f>
        <v>#REF!</v>
      </c>
      <c r="I15" s="209"/>
      <c r="J15" s="210"/>
      <c r="K15" s="211"/>
      <c r="L15" s="209"/>
      <c r="M15" s="209"/>
      <c r="N15" s="210"/>
      <c r="O15" s="213" t="e">
        <f>H15</f>
        <v>#REF!</v>
      </c>
      <c r="P15" s="209"/>
      <c r="Q15" s="210"/>
      <c r="R15" s="211" t="s">
        <v>20</v>
      </c>
      <c r="S15" s="209"/>
      <c r="T15" s="209"/>
      <c r="U15" s="210"/>
      <c r="V15" s="213" t="e">
        <f>O15</f>
        <v>#REF!</v>
      </c>
      <c r="W15" s="209"/>
      <c r="X15" s="210"/>
      <c r="Y15" s="211" t="s">
        <v>20</v>
      </c>
      <c r="Z15" s="209"/>
      <c r="AA15" s="209"/>
      <c r="AB15" s="212"/>
    </row>
    <row r="16" spans="1:92" ht="12.6" customHeight="1" x14ac:dyDescent="0.2">
      <c r="A16" s="365" t="s">
        <v>76</v>
      </c>
      <c r="B16" s="209"/>
      <c r="C16" s="209"/>
      <c r="D16" s="209"/>
      <c r="E16" s="209"/>
      <c r="F16" s="209"/>
      <c r="G16" s="210"/>
      <c r="H16" s="371">
        <f>IFERROR(M33,"")</f>
        <v>0</v>
      </c>
      <c r="I16" s="203"/>
      <c r="J16" s="204"/>
      <c r="K16" s="205"/>
      <c r="L16" s="206"/>
      <c r="M16" s="206"/>
      <c r="N16" s="228"/>
      <c r="O16" s="371">
        <f>IFERROR(S33,"")</f>
        <v>0</v>
      </c>
      <c r="P16" s="203"/>
      <c r="Q16" s="204"/>
      <c r="R16" s="205"/>
      <c r="S16" s="206"/>
      <c r="T16" s="206"/>
      <c r="U16" s="228"/>
      <c r="V16" s="203">
        <f>IFERROR(Y33,"")</f>
        <v>0</v>
      </c>
      <c r="W16" s="203"/>
      <c r="X16" s="204"/>
      <c r="Y16" s="205"/>
      <c r="Z16" s="206"/>
      <c r="AA16" s="206"/>
      <c r="AB16" s="207"/>
    </row>
    <row r="17" spans="1:30" ht="12.6" customHeight="1" x14ac:dyDescent="0.2">
      <c r="A17" s="365" t="s">
        <v>21</v>
      </c>
      <c r="B17" s="209"/>
      <c r="C17" s="209"/>
      <c r="D17" s="209"/>
      <c r="E17" s="209"/>
      <c r="F17" s="209"/>
      <c r="G17" s="210"/>
      <c r="H17" s="208" t="e">
        <f>#REF!</f>
        <v>#REF!</v>
      </c>
      <c r="I17" s="236"/>
      <c r="J17" s="237"/>
      <c r="K17" s="211"/>
      <c r="L17" s="209"/>
      <c r="M17" s="209"/>
      <c r="N17" s="210"/>
      <c r="O17" s="208" t="e">
        <f>H17</f>
        <v>#REF!</v>
      </c>
      <c r="P17" s="209"/>
      <c r="Q17" s="210"/>
      <c r="R17" s="211" t="s">
        <v>20</v>
      </c>
      <c r="S17" s="209"/>
      <c r="T17" s="209"/>
      <c r="U17" s="210"/>
      <c r="V17" s="208" t="e">
        <f>O17</f>
        <v>#REF!</v>
      </c>
      <c r="W17" s="209"/>
      <c r="X17" s="210"/>
      <c r="Y17" s="211" t="s">
        <v>20</v>
      </c>
      <c r="Z17" s="209"/>
      <c r="AA17" s="209"/>
      <c r="AB17" s="212"/>
    </row>
    <row r="18" spans="1:30" ht="12.6" customHeight="1" x14ac:dyDescent="0.2">
      <c r="A18" s="365" t="s">
        <v>77</v>
      </c>
      <c r="B18" s="209"/>
      <c r="C18" s="209"/>
      <c r="D18" s="209"/>
      <c r="E18" s="209"/>
      <c r="F18" s="209"/>
      <c r="G18" s="210"/>
      <c r="H18" s="213" t="e">
        <f>#REF!</f>
        <v>#REF!</v>
      </c>
      <c r="I18" s="241"/>
      <c r="J18" s="242"/>
      <c r="K18" s="211"/>
      <c r="L18" s="209"/>
      <c r="M18" s="209"/>
      <c r="N18" s="210"/>
      <c r="O18" s="213" t="e">
        <f>H18</f>
        <v>#REF!</v>
      </c>
      <c r="P18" s="209"/>
      <c r="Q18" s="210"/>
      <c r="R18" s="211" t="s">
        <v>20</v>
      </c>
      <c r="S18" s="209"/>
      <c r="T18" s="209"/>
      <c r="U18" s="210"/>
      <c r="V18" s="213" t="e">
        <f>O18</f>
        <v>#REF!</v>
      </c>
      <c r="W18" s="209"/>
      <c r="X18" s="210"/>
      <c r="Y18" s="211" t="s">
        <v>20</v>
      </c>
      <c r="Z18" s="209"/>
      <c r="AA18" s="209"/>
      <c r="AB18" s="212"/>
    </row>
    <row r="19" spans="1:30" ht="12.6" customHeight="1" x14ac:dyDescent="0.2">
      <c r="A19" s="365" t="s">
        <v>78</v>
      </c>
      <c r="B19" s="209"/>
      <c r="C19" s="209"/>
      <c r="D19" s="209"/>
      <c r="E19" s="209"/>
      <c r="F19" s="209"/>
      <c r="G19" s="210"/>
      <c r="H19" s="371">
        <f>IFERROR(O33,"")</f>
        <v>0</v>
      </c>
      <c r="I19" s="203"/>
      <c r="J19" s="204"/>
      <c r="K19" s="205"/>
      <c r="L19" s="206"/>
      <c r="M19" s="206"/>
      <c r="N19" s="228"/>
      <c r="O19" s="371">
        <f>IFERROR(U33,"")</f>
        <v>0</v>
      </c>
      <c r="P19" s="203"/>
      <c r="Q19" s="204"/>
      <c r="R19" s="205"/>
      <c r="S19" s="206"/>
      <c r="T19" s="206"/>
      <c r="U19" s="228"/>
      <c r="V19" s="203">
        <f>IFERROR(AA33,"")</f>
        <v>0</v>
      </c>
      <c r="W19" s="203"/>
      <c r="X19" s="204"/>
      <c r="Y19" s="205"/>
      <c r="Z19" s="206"/>
      <c r="AA19" s="206"/>
      <c r="AB19" s="207"/>
    </row>
    <row r="20" spans="1:30" ht="12.6" customHeight="1" x14ac:dyDescent="0.2">
      <c r="A20" s="395" t="s">
        <v>92</v>
      </c>
      <c r="B20" s="209"/>
      <c r="C20" s="209"/>
      <c r="D20" s="209"/>
      <c r="E20" s="209"/>
      <c r="F20" s="209"/>
      <c r="G20" s="210"/>
      <c r="H20" s="208" t="e">
        <f>#REF!</f>
        <v>#REF!</v>
      </c>
      <c r="I20" s="236"/>
      <c r="J20" s="237"/>
      <c r="K20" s="211"/>
      <c r="L20" s="209"/>
      <c r="M20" s="209"/>
      <c r="N20" s="210"/>
      <c r="O20" s="208" t="e">
        <f>H20</f>
        <v>#REF!</v>
      </c>
      <c r="P20" s="209"/>
      <c r="Q20" s="210"/>
      <c r="R20" s="211" t="s">
        <v>20</v>
      </c>
      <c r="S20" s="209"/>
      <c r="T20" s="209"/>
      <c r="U20" s="210"/>
      <c r="V20" s="208" t="e">
        <f>O20</f>
        <v>#REF!</v>
      </c>
      <c r="W20" s="209"/>
      <c r="X20" s="210"/>
      <c r="Y20" s="211" t="s">
        <v>20</v>
      </c>
      <c r="Z20" s="209"/>
      <c r="AA20" s="209"/>
      <c r="AB20" s="212"/>
    </row>
    <row r="21" spans="1:30" ht="12.6" customHeight="1" x14ac:dyDescent="0.2">
      <c r="A21" s="395" t="s">
        <v>93</v>
      </c>
      <c r="B21" s="209"/>
      <c r="C21" s="209"/>
      <c r="D21" s="209"/>
      <c r="E21" s="209"/>
      <c r="F21" s="209"/>
      <c r="G21" s="210"/>
      <c r="H21" s="213" t="e">
        <f>#REF!</f>
        <v>#REF!</v>
      </c>
      <c r="I21" s="241"/>
      <c r="J21" s="242"/>
      <c r="K21" s="211"/>
      <c r="L21" s="209"/>
      <c r="M21" s="209"/>
      <c r="N21" s="210"/>
      <c r="O21" s="213" t="e">
        <f>H21</f>
        <v>#REF!</v>
      </c>
      <c r="P21" s="209"/>
      <c r="Q21" s="210"/>
      <c r="R21" s="211" t="s">
        <v>20</v>
      </c>
      <c r="S21" s="209"/>
      <c r="T21" s="209"/>
      <c r="U21" s="210"/>
      <c r="V21" s="213" t="e">
        <f>O21</f>
        <v>#REF!</v>
      </c>
      <c r="W21" s="209"/>
      <c r="X21" s="210"/>
      <c r="Y21" s="211" t="s">
        <v>20</v>
      </c>
      <c r="Z21" s="209"/>
      <c r="AA21" s="209"/>
      <c r="AB21" s="212"/>
    </row>
    <row r="22" spans="1:30" ht="12.6" customHeight="1" x14ac:dyDescent="0.2">
      <c r="A22" s="395" t="s">
        <v>94</v>
      </c>
      <c r="B22" s="209"/>
      <c r="C22" s="209"/>
      <c r="D22" s="209"/>
      <c r="E22" s="209"/>
      <c r="F22" s="209"/>
      <c r="G22" s="210"/>
      <c r="H22" s="371">
        <f>IFERROR(Q33,"")</f>
        <v>0</v>
      </c>
      <c r="I22" s="203"/>
      <c r="J22" s="204"/>
      <c r="K22" s="205"/>
      <c r="L22" s="206"/>
      <c r="M22" s="206"/>
      <c r="N22" s="228"/>
      <c r="O22" s="371">
        <f>IFERROR(W33,"")</f>
        <v>0</v>
      </c>
      <c r="P22" s="203"/>
      <c r="Q22" s="204"/>
      <c r="R22" s="205"/>
      <c r="S22" s="206"/>
      <c r="T22" s="206"/>
      <c r="U22" s="228"/>
      <c r="V22" s="203">
        <f>IFERROR(AC33,"")</f>
        <v>0</v>
      </c>
      <c r="W22" s="203"/>
      <c r="X22" s="204"/>
      <c r="Y22" s="205"/>
      <c r="Z22" s="206"/>
      <c r="AA22" s="206"/>
      <c r="AB22" s="207"/>
    </row>
    <row r="23" spans="1:30" ht="12.6" customHeight="1" thickBot="1" x14ac:dyDescent="0.25">
      <c r="A23" s="444" t="s">
        <v>22</v>
      </c>
      <c r="B23" s="266"/>
      <c r="C23" s="266"/>
      <c r="D23" s="266"/>
      <c r="E23" s="266"/>
      <c r="F23" s="266"/>
      <c r="G23" s="349"/>
      <c r="H23" s="356"/>
      <c r="I23" s="357"/>
      <c r="J23" s="358"/>
      <c r="K23" s="316"/>
      <c r="L23" s="317"/>
      <c r="M23" s="317"/>
      <c r="N23" s="318"/>
      <c r="O23" s="356"/>
      <c r="P23" s="357"/>
      <c r="Q23" s="358"/>
      <c r="R23" s="316"/>
      <c r="S23" s="317"/>
      <c r="T23" s="317"/>
      <c r="U23" s="318"/>
      <c r="V23" s="357"/>
      <c r="W23" s="357"/>
      <c r="X23" s="358"/>
      <c r="Y23" s="316"/>
      <c r="Z23" s="317"/>
      <c r="AA23" s="317"/>
      <c r="AB23" s="340"/>
    </row>
    <row r="24" spans="1:30" ht="12.6" customHeight="1" thickBot="1" x14ac:dyDescent="0.25">
      <c r="A24" s="34"/>
      <c r="B24" s="34"/>
      <c r="C24" s="34"/>
      <c r="D24" s="34"/>
      <c r="E24" s="37"/>
      <c r="F24" s="37"/>
      <c r="G24" s="37"/>
      <c r="H24" s="38"/>
      <c r="I24" s="38"/>
      <c r="J24" s="38"/>
      <c r="K24" s="39"/>
      <c r="L24" s="39"/>
      <c r="M24" s="39"/>
      <c r="N24" s="39"/>
      <c r="O24" s="38"/>
      <c r="P24" s="38"/>
      <c r="Q24" s="38"/>
      <c r="R24" s="39"/>
      <c r="S24" s="39"/>
      <c r="T24" s="39"/>
      <c r="U24" s="39"/>
      <c r="V24" s="38"/>
      <c r="W24" s="38"/>
      <c r="X24" s="38"/>
      <c r="Y24" s="39"/>
      <c r="Z24" s="39"/>
      <c r="AA24" s="39"/>
      <c r="AB24" s="39"/>
      <c r="AC24" s="40"/>
    </row>
    <row r="25" spans="1:30" ht="12.6" customHeight="1" x14ac:dyDescent="0.2">
      <c r="A25" s="401" t="s">
        <v>134</v>
      </c>
      <c r="B25" s="402"/>
      <c r="C25" s="402"/>
      <c r="D25" s="402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  <c r="T25" s="402"/>
      <c r="U25" s="402"/>
      <c r="V25" s="402"/>
      <c r="W25" s="402"/>
      <c r="X25" s="402"/>
      <c r="Y25" s="402"/>
      <c r="Z25" s="402"/>
      <c r="AA25" s="402"/>
      <c r="AB25" s="402"/>
      <c r="AC25" s="403"/>
    </row>
    <row r="26" spans="1:30" ht="12.6" customHeight="1" x14ac:dyDescent="0.2">
      <c r="A26" s="480"/>
      <c r="B26" s="381" t="s">
        <v>120</v>
      </c>
      <c r="C26" s="482"/>
      <c r="D26" s="482"/>
      <c r="E26" s="482"/>
      <c r="F26" s="482"/>
      <c r="G26" s="482"/>
      <c r="H26" s="482"/>
      <c r="I26" s="482"/>
      <c r="J26" s="381" t="s">
        <v>121</v>
      </c>
      <c r="K26" s="381"/>
      <c r="L26" s="381"/>
      <c r="M26" s="387" t="s">
        <v>1</v>
      </c>
      <c r="N26" s="388"/>
      <c r="O26" s="388"/>
      <c r="P26" s="388"/>
      <c r="Q26" s="389"/>
      <c r="R26" s="389"/>
      <c r="S26" s="387" t="s">
        <v>132</v>
      </c>
      <c r="T26" s="388"/>
      <c r="U26" s="388"/>
      <c r="V26" s="388"/>
      <c r="W26" s="389"/>
      <c r="X26" s="389"/>
      <c r="Y26" s="387" t="s">
        <v>133</v>
      </c>
      <c r="Z26" s="389"/>
      <c r="AA26" s="389"/>
      <c r="AB26" s="389"/>
      <c r="AC26" s="488"/>
    </row>
    <row r="27" spans="1:30" ht="12.6" customHeight="1" x14ac:dyDescent="0.2">
      <c r="A27" s="481"/>
      <c r="B27" s="471"/>
      <c r="C27" s="471"/>
      <c r="D27" s="471"/>
      <c r="E27" s="471"/>
      <c r="F27" s="471"/>
      <c r="G27" s="471"/>
      <c r="H27" s="471"/>
      <c r="I27" s="471"/>
      <c r="J27" s="382"/>
      <c r="K27" s="382"/>
      <c r="L27" s="382"/>
      <c r="M27" s="390" t="s">
        <v>135</v>
      </c>
      <c r="N27" s="351"/>
      <c r="O27" s="390" t="s">
        <v>140</v>
      </c>
      <c r="P27" s="351"/>
      <c r="Q27" s="390" t="s">
        <v>139</v>
      </c>
      <c r="R27" s="400"/>
      <c r="S27" s="390" t="s">
        <v>135</v>
      </c>
      <c r="T27" s="351"/>
      <c r="U27" s="390" t="s">
        <v>140</v>
      </c>
      <c r="V27" s="351"/>
      <c r="W27" s="390" t="s">
        <v>139</v>
      </c>
      <c r="X27" s="400"/>
      <c r="Y27" s="390" t="s">
        <v>135</v>
      </c>
      <c r="Z27" s="351"/>
      <c r="AA27" s="390" t="s">
        <v>140</v>
      </c>
      <c r="AB27" s="351"/>
      <c r="AC27" s="51" t="s">
        <v>139</v>
      </c>
      <c r="AD27" s="61"/>
    </row>
    <row r="28" spans="1:30" ht="12.6" customHeight="1" x14ac:dyDescent="0.2">
      <c r="A28" s="52" t="s">
        <v>80</v>
      </c>
      <c r="B28" s="397" t="s">
        <v>122</v>
      </c>
      <c r="C28" s="398"/>
      <c r="D28" s="398"/>
      <c r="E28" s="398"/>
      <c r="F28" s="398"/>
      <c r="G28" s="398"/>
      <c r="H28" s="398"/>
      <c r="I28" s="398"/>
      <c r="J28" s="377" t="s">
        <v>123</v>
      </c>
      <c r="K28" s="378"/>
      <c r="L28" s="379"/>
      <c r="M28" s="254"/>
      <c r="N28" s="255"/>
      <c r="O28" s="254"/>
      <c r="P28" s="255"/>
      <c r="Q28" s="254"/>
      <c r="R28" s="255"/>
      <c r="S28" s="254"/>
      <c r="T28" s="255"/>
      <c r="U28" s="254"/>
      <c r="V28" s="255"/>
      <c r="W28" s="254"/>
      <c r="X28" s="255"/>
      <c r="Y28" s="254"/>
      <c r="Z28" s="255"/>
      <c r="AA28" s="254"/>
      <c r="AB28" s="255"/>
      <c r="AC28" s="53"/>
      <c r="AD28" s="62"/>
    </row>
    <row r="29" spans="1:30" ht="12.6" customHeight="1" x14ac:dyDescent="0.2">
      <c r="A29" s="52" t="s">
        <v>81</v>
      </c>
      <c r="B29" s="397" t="s">
        <v>124</v>
      </c>
      <c r="C29" s="398"/>
      <c r="D29" s="398"/>
      <c r="E29" s="398"/>
      <c r="F29" s="398"/>
      <c r="G29" s="398"/>
      <c r="H29" s="398"/>
      <c r="I29" s="398"/>
      <c r="J29" s="377" t="s">
        <v>123</v>
      </c>
      <c r="K29" s="378"/>
      <c r="L29" s="379"/>
      <c r="M29" s="254"/>
      <c r="N29" s="255"/>
      <c r="O29" s="254"/>
      <c r="P29" s="255"/>
      <c r="Q29" s="254"/>
      <c r="R29" s="255"/>
      <c r="S29" s="254"/>
      <c r="T29" s="255"/>
      <c r="U29" s="254"/>
      <c r="V29" s="255"/>
      <c r="W29" s="254"/>
      <c r="X29" s="255"/>
      <c r="Y29" s="254"/>
      <c r="Z29" s="255"/>
      <c r="AA29" s="254"/>
      <c r="AB29" s="255"/>
      <c r="AC29" s="53"/>
      <c r="AD29" s="62"/>
    </row>
    <row r="30" spans="1:30" ht="12.6" customHeight="1" x14ac:dyDescent="0.2">
      <c r="A30" s="52" t="s">
        <v>82</v>
      </c>
      <c r="B30" s="397" t="s">
        <v>125</v>
      </c>
      <c r="C30" s="398"/>
      <c r="D30" s="398"/>
      <c r="E30" s="398"/>
      <c r="F30" s="398"/>
      <c r="G30" s="398"/>
      <c r="H30" s="398"/>
      <c r="I30" s="41"/>
      <c r="J30" s="377" t="s">
        <v>126</v>
      </c>
      <c r="K30" s="378"/>
      <c r="L30" s="379"/>
      <c r="M30" s="250" t="str">
        <f>IF(M28-M29=0,"",M28-M29)</f>
        <v/>
      </c>
      <c r="N30" s="251"/>
      <c r="O30" s="250" t="str">
        <f>IF(O28-O29=0,"",O28-O29)</f>
        <v/>
      </c>
      <c r="P30" s="251"/>
      <c r="Q30" s="250" t="str">
        <f>IF(Q28-Q29=0,"",Q28-Q29)</f>
        <v/>
      </c>
      <c r="R30" s="251"/>
      <c r="S30" s="250" t="str">
        <f>IF(S28-S29=0,"",S28-S29)</f>
        <v/>
      </c>
      <c r="T30" s="251"/>
      <c r="U30" s="250" t="str">
        <f>IF(U28-U29=0,"",U28-U29)</f>
        <v/>
      </c>
      <c r="V30" s="251"/>
      <c r="W30" s="250" t="str">
        <f>IF(W28-W29=0,"",W28-W29)</f>
        <v/>
      </c>
      <c r="X30" s="251"/>
      <c r="Y30" s="250" t="str">
        <f>IF(Y28-Y29=0,"",Y28-Y29)</f>
        <v/>
      </c>
      <c r="Z30" s="251"/>
      <c r="AA30" s="250" t="str">
        <f>IF(AA28-AA29=0,"",AA28-AA29)</f>
        <v/>
      </c>
      <c r="AB30" s="251"/>
      <c r="AC30" s="54" t="str">
        <f>IF(AC28-AC29=0,"",AC28-AC29)</f>
        <v/>
      </c>
      <c r="AD30" s="61"/>
    </row>
    <row r="31" spans="1:30" ht="12.6" customHeight="1" x14ac:dyDescent="0.2">
      <c r="A31" s="52" t="s">
        <v>83</v>
      </c>
      <c r="B31" s="397" t="s">
        <v>127</v>
      </c>
      <c r="C31" s="398"/>
      <c r="D31" s="398"/>
      <c r="E31" s="398"/>
      <c r="F31" s="398"/>
      <c r="G31" s="42"/>
      <c r="H31" s="42"/>
      <c r="I31" s="42"/>
      <c r="J31" s="377" t="s">
        <v>123</v>
      </c>
      <c r="K31" s="378"/>
      <c r="L31" s="379"/>
      <c r="M31" s="254"/>
      <c r="N31" s="255"/>
      <c r="O31" s="254"/>
      <c r="P31" s="255"/>
      <c r="Q31" s="254"/>
      <c r="R31" s="255"/>
      <c r="S31" s="254"/>
      <c r="T31" s="255"/>
      <c r="U31" s="254"/>
      <c r="V31" s="255"/>
      <c r="W31" s="254"/>
      <c r="X31" s="255"/>
      <c r="Y31" s="254"/>
      <c r="Z31" s="255"/>
      <c r="AA31" s="254"/>
      <c r="AB31" s="255"/>
      <c r="AC31" s="53"/>
      <c r="AD31" s="62"/>
    </row>
    <row r="32" spans="1:30" ht="12.6" customHeight="1" x14ac:dyDescent="0.2">
      <c r="A32" s="52" t="s">
        <v>84</v>
      </c>
      <c r="B32" s="397" t="s">
        <v>128</v>
      </c>
      <c r="C32" s="398"/>
      <c r="D32" s="398"/>
      <c r="E32" s="398"/>
      <c r="F32" s="398"/>
      <c r="G32" s="398"/>
      <c r="H32" s="398"/>
      <c r="I32" s="42"/>
      <c r="J32" s="377" t="s">
        <v>129</v>
      </c>
      <c r="K32" s="378"/>
      <c r="L32" s="379"/>
      <c r="M32" s="250" t="str">
        <f>IF(M29-M31=0,"",M29-M31)</f>
        <v/>
      </c>
      <c r="N32" s="251"/>
      <c r="O32" s="250" t="str">
        <f>IF(O29-O31=0,"",O29-O31)</f>
        <v/>
      </c>
      <c r="P32" s="251"/>
      <c r="Q32" s="250" t="str">
        <f>IF(Q29-Q31=0,"",Q29-Q31)</f>
        <v/>
      </c>
      <c r="R32" s="251"/>
      <c r="S32" s="250" t="str">
        <f>IF(S29-S31=0,"",S29-S31)</f>
        <v/>
      </c>
      <c r="T32" s="251"/>
      <c r="U32" s="250" t="str">
        <f>IF(U29-U31=0,"",U29-U31)</f>
        <v/>
      </c>
      <c r="V32" s="251"/>
      <c r="W32" s="250" t="str">
        <f>IF(W29-W31=0,"",W29-W31)</f>
        <v/>
      </c>
      <c r="X32" s="251"/>
      <c r="Y32" s="250" t="str">
        <f>IF(Y29-Y31=0,"",Y29-Y31)</f>
        <v/>
      </c>
      <c r="Z32" s="251"/>
      <c r="AA32" s="250" t="str">
        <f>IF(AA29-AA31=0,"",AA29-AA31)</f>
        <v/>
      </c>
      <c r="AB32" s="251"/>
      <c r="AC32" s="54" t="str">
        <f>IF(AC29-AC31=0,"",AC29-AC31)</f>
        <v/>
      </c>
      <c r="AD32" s="63"/>
    </row>
    <row r="33" spans="1:31" ht="12.6" customHeight="1" thickBot="1" x14ac:dyDescent="0.25">
      <c r="A33" s="55" t="s">
        <v>85</v>
      </c>
      <c r="B33" s="407" t="s">
        <v>130</v>
      </c>
      <c r="C33" s="408"/>
      <c r="D33" s="408"/>
      <c r="E33" s="408"/>
      <c r="F33" s="408"/>
      <c r="G33" s="408"/>
      <c r="H33" s="56"/>
      <c r="I33" s="56"/>
      <c r="J33" s="409" t="s">
        <v>131</v>
      </c>
      <c r="K33" s="410"/>
      <c r="L33" s="410"/>
      <c r="M33" s="252">
        <f>IFERROR((M30/M32)*100,0)</f>
        <v>0</v>
      </c>
      <c r="N33" s="253"/>
      <c r="O33" s="252">
        <f>IFERROR((O30/O32)*100,0)</f>
        <v>0</v>
      </c>
      <c r="P33" s="253"/>
      <c r="Q33" s="252">
        <f>IFERROR((Q30/Q32)*100,0)</f>
        <v>0</v>
      </c>
      <c r="R33" s="253"/>
      <c r="S33" s="252">
        <f>IFERROR((S30/S32)*100,0)</f>
        <v>0</v>
      </c>
      <c r="T33" s="253"/>
      <c r="U33" s="252">
        <f>IFERROR((U30/U32)*100,0)</f>
        <v>0</v>
      </c>
      <c r="V33" s="253"/>
      <c r="W33" s="252">
        <f>IFERROR((W30/W32)*100,0)</f>
        <v>0</v>
      </c>
      <c r="X33" s="391"/>
      <c r="Y33" s="252">
        <f>IFERROR((Y30/Y32)*100,0)</f>
        <v>0</v>
      </c>
      <c r="Z33" s="253"/>
      <c r="AA33" s="252">
        <f>IFERROR((AA30/AA32)*100,0)</f>
        <v>0</v>
      </c>
      <c r="AB33" s="253"/>
      <c r="AC33" s="57">
        <f>IFERROR((AC30/AC32)*100,0)</f>
        <v>0</v>
      </c>
      <c r="AD33" s="64"/>
    </row>
    <row r="34" spans="1:31" ht="12.6" customHeight="1" x14ac:dyDescent="0.2">
      <c r="A34" s="43"/>
      <c r="B34" s="44"/>
      <c r="C34" s="45"/>
      <c r="D34" s="45"/>
      <c r="E34" s="45"/>
      <c r="F34" s="45"/>
      <c r="G34" s="45"/>
      <c r="H34" s="44"/>
      <c r="I34" s="44"/>
      <c r="J34" s="46"/>
      <c r="K34" s="47"/>
      <c r="L34" s="47"/>
      <c r="M34" s="48"/>
      <c r="N34" s="35"/>
      <c r="O34" s="35"/>
      <c r="P34" s="48"/>
      <c r="Q34" s="48"/>
      <c r="R34" s="48"/>
      <c r="S34" s="48"/>
      <c r="T34" s="48"/>
      <c r="U34" s="48"/>
      <c r="V34" s="48"/>
      <c r="W34" s="35"/>
      <c r="X34" s="35"/>
      <c r="Y34" s="48"/>
      <c r="Z34" s="35"/>
      <c r="AA34" s="35"/>
      <c r="AB34" s="48"/>
      <c r="AC34" s="58"/>
      <c r="AD34" s="63"/>
    </row>
    <row r="35" spans="1:31" ht="12.6" customHeight="1" x14ac:dyDescent="0.2">
      <c r="A35" s="485" t="s">
        <v>136</v>
      </c>
      <c r="B35" s="486"/>
      <c r="C35" s="486"/>
      <c r="D35" s="486"/>
      <c r="E35" s="486"/>
      <c r="F35" s="486"/>
      <c r="G35" s="486"/>
      <c r="H35" s="486"/>
      <c r="I35" s="486"/>
      <c r="J35" s="486"/>
      <c r="K35" s="486"/>
      <c r="L35" s="486"/>
      <c r="M35" s="486"/>
      <c r="N35" s="486"/>
      <c r="O35" s="486"/>
      <c r="P35" s="486"/>
      <c r="Q35" s="486"/>
      <c r="R35" s="486"/>
      <c r="S35" s="486"/>
      <c r="T35" s="486"/>
      <c r="U35" s="486"/>
      <c r="V35" s="486"/>
      <c r="W35" s="486"/>
      <c r="X35" s="486"/>
      <c r="Y35" s="486"/>
      <c r="Z35" s="486"/>
      <c r="AA35" s="486"/>
      <c r="AB35" s="486"/>
      <c r="AC35" s="486"/>
      <c r="AD35" s="61"/>
      <c r="AE35" s="63"/>
    </row>
    <row r="36" spans="1:31" ht="12.6" customHeight="1" x14ac:dyDescent="0.2">
      <c r="A36" s="49"/>
      <c r="B36" s="44"/>
      <c r="C36" s="45"/>
      <c r="D36" s="45"/>
      <c r="E36" s="45"/>
      <c r="F36" s="45"/>
      <c r="G36" s="390" t="s">
        <v>1</v>
      </c>
      <c r="H36" s="399"/>
      <c r="I36" s="399"/>
      <c r="J36" s="399"/>
      <c r="K36" s="399"/>
      <c r="L36" s="400"/>
      <c r="M36" s="390" t="s">
        <v>132</v>
      </c>
      <c r="N36" s="399"/>
      <c r="O36" s="399"/>
      <c r="P36" s="399"/>
      <c r="Q36" s="399"/>
      <c r="R36" s="400"/>
      <c r="S36" s="390" t="s">
        <v>133</v>
      </c>
      <c r="T36" s="399"/>
      <c r="U36" s="399"/>
      <c r="V36" s="399"/>
      <c r="W36" s="400"/>
      <c r="X36" s="50"/>
      <c r="Y36" s="36"/>
      <c r="Z36" s="36"/>
      <c r="AA36" s="50"/>
      <c r="AB36" s="36"/>
      <c r="AC36" s="2"/>
      <c r="AD36" s="63"/>
    </row>
    <row r="37" spans="1:31" ht="12.6" customHeight="1" x14ac:dyDescent="0.2">
      <c r="A37" s="43"/>
      <c r="B37" s="483" t="s">
        <v>142</v>
      </c>
      <c r="C37" s="484"/>
      <c r="D37" s="484"/>
      <c r="E37" s="484"/>
      <c r="F37" s="484"/>
      <c r="G37" s="372"/>
      <c r="H37" s="373"/>
      <c r="I37" s="373"/>
      <c r="J37" s="373"/>
      <c r="K37" s="373"/>
      <c r="L37" s="374"/>
      <c r="M37" s="372"/>
      <c r="N37" s="373"/>
      <c r="O37" s="373"/>
      <c r="P37" s="373"/>
      <c r="Q37" s="373"/>
      <c r="R37" s="374"/>
      <c r="S37" s="372"/>
      <c r="T37" s="373"/>
      <c r="U37" s="373"/>
      <c r="V37" s="373"/>
      <c r="W37" s="374"/>
      <c r="X37" s="48"/>
      <c r="Y37" s="35"/>
      <c r="Z37" s="35"/>
      <c r="AA37" s="48"/>
      <c r="AB37" s="35"/>
      <c r="AC37" s="2"/>
      <c r="AD37" s="63"/>
    </row>
    <row r="38" spans="1:31" ht="12.6" customHeight="1" x14ac:dyDescent="0.2">
      <c r="A38" s="43"/>
      <c r="B38" s="483" t="s">
        <v>137</v>
      </c>
      <c r="C38" s="484"/>
      <c r="D38" s="484"/>
      <c r="E38" s="484"/>
      <c r="F38" s="487"/>
      <c r="G38" s="390" t="s">
        <v>135</v>
      </c>
      <c r="H38" s="351"/>
      <c r="I38" s="390" t="s">
        <v>140</v>
      </c>
      <c r="J38" s="351"/>
      <c r="K38" s="390" t="s">
        <v>139</v>
      </c>
      <c r="L38" s="400"/>
      <c r="M38" s="390" t="s">
        <v>135</v>
      </c>
      <c r="N38" s="351"/>
      <c r="O38" s="390" t="s">
        <v>140</v>
      </c>
      <c r="P38" s="351"/>
      <c r="Q38" s="390" t="s">
        <v>139</v>
      </c>
      <c r="R38" s="400"/>
      <c r="S38" s="390" t="s">
        <v>135</v>
      </c>
      <c r="T38" s="351"/>
      <c r="U38" s="390" t="s">
        <v>140</v>
      </c>
      <c r="V38" s="351"/>
      <c r="W38" s="390" t="s">
        <v>139</v>
      </c>
      <c r="X38" s="400"/>
      <c r="Y38" s="35"/>
      <c r="Z38" s="35"/>
      <c r="AA38" s="48"/>
      <c r="AB38" s="35"/>
      <c r="AC38" s="2"/>
      <c r="AD38" s="63"/>
    </row>
    <row r="39" spans="1:31" ht="12.6" customHeight="1" x14ac:dyDescent="0.2">
      <c r="A39" s="49"/>
      <c r="B39" s="483" t="s">
        <v>138</v>
      </c>
      <c r="C39" s="484"/>
      <c r="D39" s="484"/>
      <c r="E39" s="484"/>
      <c r="F39" s="487"/>
      <c r="G39" s="375" t="e">
        <f>G37*($I$52/27)</f>
        <v>#REF!</v>
      </c>
      <c r="H39" s="376"/>
      <c r="I39" s="375" t="e">
        <f>G37*($I$53/27)</f>
        <v>#REF!</v>
      </c>
      <c r="J39" s="376"/>
      <c r="K39" s="375" t="e">
        <f>G37*($I$54/27)</f>
        <v>#REF!</v>
      </c>
      <c r="L39" s="376"/>
      <c r="M39" s="375" t="e">
        <f>M37*($I$52/27)</f>
        <v>#REF!</v>
      </c>
      <c r="N39" s="376"/>
      <c r="O39" s="375" t="e">
        <f>M37*($I$53/27)</f>
        <v>#REF!</v>
      </c>
      <c r="P39" s="376"/>
      <c r="Q39" s="375" t="e">
        <f>M37*($I$54/27)</f>
        <v>#REF!</v>
      </c>
      <c r="R39" s="376"/>
      <c r="S39" s="375" t="e">
        <f>S37*($I$52/27)</f>
        <v>#REF!</v>
      </c>
      <c r="T39" s="376"/>
      <c r="U39" s="375" t="e">
        <f>S37*($I$53/27)</f>
        <v>#REF!</v>
      </c>
      <c r="V39" s="376"/>
      <c r="W39" s="375" t="e">
        <f>S37*($I$54/27)</f>
        <v>#REF!</v>
      </c>
      <c r="X39" s="376"/>
      <c r="Y39" s="35"/>
      <c r="Z39" s="35"/>
      <c r="AA39" s="50"/>
      <c r="AB39" s="35"/>
      <c r="AC39" s="2"/>
      <c r="AD39" s="63"/>
    </row>
    <row r="40" spans="1:31" ht="12.6" customHeight="1" thickBot="1" x14ac:dyDescent="0.25">
      <c r="A40" s="43"/>
      <c r="B40" s="44"/>
      <c r="C40" s="45"/>
      <c r="D40" s="45"/>
      <c r="E40" s="45"/>
      <c r="F40" s="45"/>
      <c r="G40" s="45"/>
      <c r="H40" s="44"/>
      <c r="I40" s="44"/>
      <c r="J40" s="46"/>
      <c r="K40" s="47"/>
      <c r="L40" s="47"/>
      <c r="M40" s="48"/>
      <c r="N40" s="35"/>
      <c r="O40" s="35"/>
      <c r="P40" s="48"/>
      <c r="Q40" s="48"/>
      <c r="R40" s="48"/>
      <c r="S40" s="48"/>
      <c r="T40" s="48"/>
      <c r="U40" s="48"/>
      <c r="V40" s="48"/>
      <c r="W40" s="35"/>
      <c r="X40" s="48"/>
      <c r="Y40" s="35"/>
      <c r="Z40" s="35"/>
      <c r="AA40" s="48"/>
      <c r="AB40" s="35"/>
      <c r="AC40" s="2"/>
      <c r="AD40" s="63"/>
    </row>
    <row r="41" spans="1:31" ht="15.75" x14ac:dyDescent="0.25">
      <c r="A41" s="404" t="s">
        <v>23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6"/>
    </row>
    <row r="42" spans="1:31" x14ac:dyDescent="0.2">
      <c r="A42" s="380"/>
      <c r="B42" s="219"/>
      <c r="C42" s="219"/>
      <c r="D42" s="10"/>
      <c r="E42" s="11"/>
      <c r="F42" s="11"/>
      <c r="G42" s="11"/>
      <c r="H42" s="12"/>
      <c r="I42" s="10"/>
      <c r="J42" s="11"/>
      <c r="K42" s="11"/>
      <c r="L42" s="11"/>
      <c r="M42" s="12"/>
      <c r="N42" s="10"/>
      <c r="O42" s="11"/>
      <c r="P42" s="12"/>
      <c r="Q42" s="249" t="s">
        <v>24</v>
      </c>
      <c r="R42" s="219"/>
      <c r="S42" s="220"/>
      <c r="T42" s="10"/>
      <c r="U42" s="11"/>
      <c r="V42" s="12"/>
      <c r="W42" s="10"/>
      <c r="X42" s="11"/>
      <c r="Y42" s="12"/>
      <c r="Z42" s="249"/>
      <c r="AA42" s="219"/>
      <c r="AB42" s="219"/>
      <c r="AC42" s="370"/>
    </row>
    <row r="43" spans="1:31" x14ac:dyDescent="0.2">
      <c r="A43" s="380"/>
      <c r="B43" s="219"/>
      <c r="C43" s="219"/>
      <c r="D43" s="249" t="s">
        <v>25</v>
      </c>
      <c r="E43" s="219"/>
      <c r="F43" s="219"/>
      <c r="G43" s="219"/>
      <c r="H43" s="220"/>
      <c r="I43" s="249" t="s">
        <v>26</v>
      </c>
      <c r="J43" s="219"/>
      <c r="K43" s="219"/>
      <c r="L43" s="219"/>
      <c r="M43" s="220"/>
      <c r="N43" s="249" t="s">
        <v>27</v>
      </c>
      <c r="O43" s="219"/>
      <c r="P43" s="220"/>
      <c r="Q43" s="249" t="s">
        <v>27</v>
      </c>
      <c r="R43" s="219"/>
      <c r="S43" s="220"/>
      <c r="T43" s="249" t="s">
        <v>28</v>
      </c>
      <c r="U43" s="219"/>
      <c r="V43" s="220"/>
      <c r="W43" s="249" t="s">
        <v>29</v>
      </c>
      <c r="X43" s="219"/>
      <c r="Y43" s="220"/>
      <c r="Z43" s="249" t="s">
        <v>68</v>
      </c>
      <c r="AA43" s="219"/>
      <c r="AB43" s="219"/>
      <c r="AC43" s="370"/>
    </row>
    <row r="44" spans="1:31" x14ac:dyDescent="0.2">
      <c r="A44" s="380" t="s">
        <v>30</v>
      </c>
      <c r="B44" s="219"/>
      <c r="C44" s="220"/>
      <c r="D44" s="249" t="s">
        <v>31</v>
      </c>
      <c r="E44" s="219"/>
      <c r="F44" s="219"/>
      <c r="G44" s="219"/>
      <c r="H44" s="220"/>
      <c r="I44" s="249" t="s">
        <v>31</v>
      </c>
      <c r="J44" s="219"/>
      <c r="K44" s="219"/>
      <c r="L44" s="219"/>
      <c r="M44" s="220"/>
      <c r="N44" s="249" t="s">
        <v>32</v>
      </c>
      <c r="O44" s="219"/>
      <c r="P44" s="220"/>
      <c r="Q44" s="249" t="s">
        <v>32</v>
      </c>
      <c r="R44" s="219"/>
      <c r="S44" s="220"/>
      <c r="T44" s="249" t="s">
        <v>32</v>
      </c>
      <c r="U44" s="219"/>
      <c r="V44" s="220"/>
      <c r="W44" s="249" t="s">
        <v>33</v>
      </c>
      <c r="X44" s="219"/>
      <c r="Y44" s="220"/>
      <c r="Z44" s="249" t="s">
        <v>33</v>
      </c>
      <c r="AA44" s="219"/>
      <c r="AB44" s="219"/>
      <c r="AC44" s="370"/>
    </row>
    <row r="45" spans="1:31" x14ac:dyDescent="0.2">
      <c r="A45" s="380"/>
      <c r="B45" s="219"/>
      <c r="C45" s="219"/>
      <c r="D45" s="384" t="s">
        <v>34</v>
      </c>
      <c r="E45" s="385"/>
      <c r="F45" s="385"/>
      <c r="G45" s="385"/>
      <c r="H45" s="386"/>
      <c r="I45" s="384" t="s">
        <v>35</v>
      </c>
      <c r="J45" s="385"/>
      <c r="K45" s="385"/>
      <c r="L45" s="385"/>
      <c r="M45" s="386"/>
      <c r="N45" s="249" t="s">
        <v>36</v>
      </c>
      <c r="O45" s="219"/>
      <c r="P45" s="220"/>
      <c r="Q45" s="249" t="s">
        <v>31</v>
      </c>
      <c r="R45" s="219"/>
      <c r="S45" s="220"/>
      <c r="T45" s="249" t="s">
        <v>31</v>
      </c>
      <c r="U45" s="219"/>
      <c r="V45" s="220"/>
      <c r="W45" s="10"/>
      <c r="X45" s="11"/>
      <c r="Y45" s="12"/>
      <c r="Z45" s="13"/>
      <c r="AA45" s="14"/>
      <c r="AB45" s="14"/>
      <c r="AC45" s="15"/>
    </row>
    <row r="46" spans="1:31" x14ac:dyDescent="0.2">
      <c r="A46" s="380"/>
      <c r="B46" s="219"/>
      <c r="C46" s="219"/>
      <c r="D46" s="226" t="s">
        <v>0</v>
      </c>
      <c r="E46" s="224"/>
      <c r="F46" s="224"/>
      <c r="G46" s="224"/>
      <c r="H46" s="225"/>
      <c r="I46" s="226" t="s">
        <v>0</v>
      </c>
      <c r="J46" s="224"/>
      <c r="K46" s="224"/>
      <c r="L46" s="224"/>
      <c r="M46" s="225"/>
      <c r="N46" s="226" t="s">
        <v>37</v>
      </c>
      <c r="O46" s="224"/>
      <c r="P46" s="225"/>
      <c r="Q46" s="226" t="s">
        <v>0</v>
      </c>
      <c r="R46" s="224"/>
      <c r="S46" s="225"/>
      <c r="T46" s="226" t="s">
        <v>0</v>
      </c>
      <c r="U46" s="224"/>
      <c r="V46" s="225"/>
      <c r="W46" s="226" t="s">
        <v>38</v>
      </c>
      <c r="X46" s="224"/>
      <c r="Y46" s="225"/>
      <c r="Z46" s="226" t="s">
        <v>38</v>
      </c>
      <c r="AA46" s="224"/>
      <c r="AB46" s="224"/>
      <c r="AC46" s="227"/>
    </row>
    <row r="47" spans="1:31" ht="12.6" customHeight="1" x14ac:dyDescent="0.2">
      <c r="A47" s="365" t="s">
        <v>2</v>
      </c>
      <c r="B47" s="209"/>
      <c r="C47" s="210"/>
      <c r="D47" s="246" t="e">
        <f>#REF!</f>
        <v>#REF!</v>
      </c>
      <c r="E47" s="247"/>
      <c r="F47" s="247"/>
      <c r="G47" s="247"/>
      <c r="H47" s="248"/>
      <c r="I47" s="246" t="e">
        <f>D47</f>
        <v>#REF!</v>
      </c>
      <c r="J47" s="247"/>
      <c r="K47" s="247"/>
      <c r="L47" s="247"/>
      <c r="M47" s="248"/>
      <c r="N47" s="243"/>
      <c r="O47" s="244"/>
      <c r="P47" s="245"/>
      <c r="Q47" s="246" t="e">
        <f>I47*N47</f>
        <v>#REF!</v>
      </c>
      <c r="R47" s="247"/>
      <c r="S47" s="248"/>
      <c r="T47" s="243"/>
      <c r="U47" s="244"/>
      <c r="V47" s="245"/>
      <c r="W47" s="213">
        <f>IFERROR(100*(T47-Q47)/Q47,0)</f>
        <v>0</v>
      </c>
      <c r="X47" s="241"/>
      <c r="Y47" s="242"/>
      <c r="Z47" s="211" t="s">
        <v>69</v>
      </c>
      <c r="AA47" s="209"/>
      <c r="AB47" s="209"/>
      <c r="AC47" s="212"/>
    </row>
    <row r="48" spans="1:31" ht="12.6" customHeight="1" x14ac:dyDescent="0.2">
      <c r="A48" s="395" t="s">
        <v>3</v>
      </c>
      <c r="B48" s="209"/>
      <c r="C48" s="210"/>
      <c r="D48" s="246" t="e">
        <f>#REF!</f>
        <v>#REF!</v>
      </c>
      <c r="E48" s="247"/>
      <c r="F48" s="247"/>
      <c r="G48" s="247"/>
      <c r="H48" s="248"/>
      <c r="I48" s="246" t="e">
        <f>D48</f>
        <v>#REF!</v>
      </c>
      <c r="J48" s="247"/>
      <c r="K48" s="247"/>
      <c r="L48" s="247"/>
      <c r="M48" s="248"/>
      <c r="N48" s="246">
        <f>N47</f>
        <v>0</v>
      </c>
      <c r="O48" s="247"/>
      <c r="P48" s="248"/>
      <c r="Q48" s="246" t="e">
        <f>I48*N48</f>
        <v>#REF!</v>
      </c>
      <c r="R48" s="247"/>
      <c r="S48" s="248"/>
      <c r="T48" s="243"/>
      <c r="U48" s="244"/>
      <c r="V48" s="245"/>
      <c r="W48" s="213" t="e">
        <f>IF(D48=0,"",100*(T48-Q48)/Q48)</f>
        <v>#REF!</v>
      </c>
      <c r="X48" s="241"/>
      <c r="Y48" s="242"/>
      <c r="Z48" s="211" t="s">
        <v>69</v>
      </c>
      <c r="AA48" s="209"/>
      <c r="AB48" s="209"/>
      <c r="AC48" s="212"/>
    </row>
    <row r="49" spans="1:29" ht="12.6" customHeight="1" x14ac:dyDescent="0.2">
      <c r="A49" s="365" t="s">
        <v>144</v>
      </c>
      <c r="B49" s="209"/>
      <c r="C49" s="210"/>
      <c r="D49" s="246" t="e">
        <f>#REF!</f>
        <v>#REF!</v>
      </c>
      <c r="E49" s="247"/>
      <c r="F49" s="247"/>
      <c r="G49" s="247"/>
      <c r="H49" s="248"/>
      <c r="I49" s="246" t="e">
        <f>D49</f>
        <v>#REF!</v>
      </c>
      <c r="J49" s="247"/>
      <c r="K49" s="247"/>
      <c r="L49" s="247"/>
      <c r="M49" s="248"/>
      <c r="N49" s="246">
        <f>N47</f>
        <v>0</v>
      </c>
      <c r="O49" s="247"/>
      <c r="P49" s="248"/>
      <c r="Q49" s="246" t="e">
        <f>I49*N49</f>
        <v>#REF!</v>
      </c>
      <c r="R49" s="247"/>
      <c r="S49" s="248"/>
      <c r="T49" s="243"/>
      <c r="U49" s="244"/>
      <c r="V49" s="245"/>
      <c r="W49" s="213" t="e">
        <f>IF(D49=0,"",100*(T49-Q49)/Q49)</f>
        <v>#REF!</v>
      </c>
      <c r="X49" s="241"/>
      <c r="Y49" s="242"/>
      <c r="Z49" s="211" t="s">
        <v>69</v>
      </c>
      <c r="AA49" s="209"/>
      <c r="AB49" s="209"/>
      <c r="AC49" s="212"/>
    </row>
    <row r="50" spans="1:29" ht="12.6" customHeight="1" x14ac:dyDescent="0.2">
      <c r="A50" s="392" t="s">
        <v>86</v>
      </c>
      <c r="B50" s="393"/>
      <c r="C50" s="394"/>
      <c r="D50" s="246" t="e">
        <f>#REF!</f>
        <v>#REF!</v>
      </c>
      <c r="E50" s="247"/>
      <c r="F50" s="247"/>
      <c r="G50" s="247"/>
      <c r="H50" s="248"/>
      <c r="I50" s="246" t="e">
        <f>D50</f>
        <v>#REF!</v>
      </c>
      <c r="J50" s="247"/>
      <c r="K50" s="247"/>
      <c r="L50" s="247"/>
      <c r="M50" s="248"/>
      <c r="N50" s="246">
        <f>N47</f>
        <v>0</v>
      </c>
      <c r="O50" s="247"/>
      <c r="P50" s="248"/>
      <c r="Q50" s="246" t="e">
        <f>I50*N50</f>
        <v>#REF!</v>
      </c>
      <c r="R50" s="247"/>
      <c r="S50" s="248"/>
      <c r="T50" s="243"/>
      <c r="U50" s="244"/>
      <c r="V50" s="245"/>
      <c r="W50" s="213" t="str">
        <f>IFERROR(IF(D50=0,"",100*(T50-Q50)/Q50),"")</f>
        <v/>
      </c>
      <c r="X50" s="241"/>
      <c r="Y50" s="242"/>
      <c r="Z50" s="211" t="s">
        <v>69</v>
      </c>
      <c r="AA50" s="209"/>
      <c r="AB50" s="209"/>
      <c r="AC50" s="212"/>
    </row>
    <row r="51" spans="1:29" ht="12.6" customHeight="1" x14ac:dyDescent="0.2">
      <c r="A51" s="392" t="s">
        <v>98</v>
      </c>
      <c r="B51" s="393"/>
      <c r="C51" s="394"/>
      <c r="D51" s="246" t="e">
        <f>#REF!</f>
        <v>#REF!</v>
      </c>
      <c r="E51" s="247"/>
      <c r="F51" s="247"/>
      <c r="G51" s="247"/>
      <c r="H51" s="248"/>
      <c r="I51" s="246" t="e">
        <f>D51</f>
        <v>#REF!</v>
      </c>
      <c r="J51" s="247"/>
      <c r="K51" s="247"/>
      <c r="L51" s="247"/>
      <c r="M51" s="248"/>
      <c r="N51" s="246">
        <f>N48</f>
        <v>0</v>
      </c>
      <c r="O51" s="247"/>
      <c r="P51" s="248"/>
      <c r="Q51" s="246" t="e">
        <f>I51*N51</f>
        <v>#REF!</v>
      </c>
      <c r="R51" s="247"/>
      <c r="S51" s="248"/>
      <c r="T51" s="243"/>
      <c r="U51" s="244"/>
      <c r="V51" s="245"/>
      <c r="W51" s="213" t="e">
        <f>IF(D51=0,"",100*(T51-Q51)/Q51)</f>
        <v>#REF!</v>
      </c>
      <c r="X51" s="241"/>
      <c r="Y51" s="242"/>
      <c r="Z51" s="211" t="s">
        <v>69</v>
      </c>
      <c r="AA51" s="209"/>
      <c r="AB51" s="209"/>
      <c r="AC51" s="212"/>
    </row>
    <row r="52" spans="1:29" ht="12.6" customHeight="1" x14ac:dyDescent="0.2">
      <c r="A52" s="424" t="s">
        <v>97</v>
      </c>
      <c r="B52" s="429" t="s">
        <v>4</v>
      </c>
      <c r="C52" s="351"/>
      <c r="D52" s="246" t="e">
        <f>#REF!</f>
        <v>#REF!</v>
      </c>
      <c r="E52" s="247"/>
      <c r="F52" s="247"/>
      <c r="G52" s="247"/>
      <c r="H52" s="248"/>
      <c r="I52" s="246" t="e">
        <f>IF(H16="","see cell L16",D52*(1+(H16-H15)/100))</f>
        <v>#REF!</v>
      </c>
      <c r="J52" s="247"/>
      <c r="K52" s="247"/>
      <c r="L52" s="247"/>
      <c r="M52" s="248"/>
      <c r="N52" s="246">
        <f>N47</f>
        <v>0</v>
      </c>
      <c r="O52" s="247"/>
      <c r="P52" s="248"/>
      <c r="Q52" s="246">
        <f>IFERROR(I52*N52,0)</f>
        <v>0</v>
      </c>
      <c r="R52" s="247"/>
      <c r="S52" s="248"/>
      <c r="T52" s="243"/>
      <c r="U52" s="244"/>
      <c r="V52" s="245"/>
      <c r="W52" s="213">
        <f>IFERROR(100*(T52-Q52)/Q52,0)</f>
        <v>0</v>
      </c>
      <c r="X52" s="241"/>
      <c r="Y52" s="242"/>
      <c r="Z52" s="211" t="s">
        <v>70</v>
      </c>
      <c r="AA52" s="209"/>
      <c r="AB52" s="209"/>
      <c r="AC52" s="212"/>
    </row>
    <row r="53" spans="1:29" ht="12.6" customHeight="1" x14ac:dyDescent="0.2">
      <c r="A53" s="425"/>
      <c r="B53" s="428" t="s">
        <v>90</v>
      </c>
      <c r="C53" s="351"/>
      <c r="D53" s="246" t="e">
        <f>#REF!</f>
        <v>#REF!</v>
      </c>
      <c r="E53" s="247"/>
      <c r="F53" s="247"/>
      <c r="G53" s="247"/>
      <c r="H53" s="248"/>
      <c r="I53" s="246" t="e">
        <f>IF(H19="","see cell L19",D53*(1+(H19-H18)/100))</f>
        <v>#REF!</v>
      </c>
      <c r="J53" s="247"/>
      <c r="K53" s="247"/>
      <c r="L53" s="247"/>
      <c r="M53" s="248"/>
      <c r="N53" s="246">
        <f>N47</f>
        <v>0</v>
      </c>
      <c r="O53" s="247"/>
      <c r="P53" s="248"/>
      <c r="Q53" s="246">
        <f>IFERROR(I53*N53,0)</f>
        <v>0</v>
      </c>
      <c r="R53" s="247"/>
      <c r="S53" s="248"/>
      <c r="T53" s="243"/>
      <c r="U53" s="244"/>
      <c r="V53" s="245"/>
      <c r="W53" s="213">
        <f>IFERROR(100*(T53-Q53)/Q53,0)</f>
        <v>0</v>
      </c>
      <c r="X53" s="241"/>
      <c r="Y53" s="242"/>
      <c r="Z53" s="211" t="s">
        <v>70</v>
      </c>
      <c r="AA53" s="209"/>
      <c r="AB53" s="209"/>
      <c r="AC53" s="212"/>
    </row>
    <row r="54" spans="1:29" ht="12.6" customHeight="1" x14ac:dyDescent="0.2">
      <c r="A54" s="426"/>
      <c r="B54" s="428" t="s">
        <v>91</v>
      </c>
      <c r="C54" s="351"/>
      <c r="D54" s="246" t="e">
        <f>#REF!</f>
        <v>#REF!</v>
      </c>
      <c r="E54" s="247"/>
      <c r="F54" s="247"/>
      <c r="G54" s="247"/>
      <c r="H54" s="248"/>
      <c r="I54" s="246" t="e">
        <f>IF(H22="","see cell L22",D54*(1+(H22-H21)/100))</f>
        <v>#REF!</v>
      </c>
      <c r="J54" s="247"/>
      <c r="K54" s="247"/>
      <c r="L54" s="247"/>
      <c r="M54" s="248"/>
      <c r="N54" s="246">
        <f>N47</f>
        <v>0</v>
      </c>
      <c r="O54" s="247"/>
      <c r="P54" s="248"/>
      <c r="Q54" s="246">
        <f>IFERROR(I54*N54,0)</f>
        <v>0</v>
      </c>
      <c r="R54" s="247"/>
      <c r="S54" s="248"/>
      <c r="T54" s="411"/>
      <c r="U54" s="244"/>
      <c r="V54" s="245"/>
      <c r="W54" s="213">
        <f>IFERROR(100*(T54-Q54)/Q54,0)</f>
        <v>0</v>
      </c>
      <c r="X54" s="241"/>
      <c r="Y54" s="242"/>
      <c r="Z54" s="211" t="s">
        <v>70</v>
      </c>
      <c r="AA54" s="209"/>
      <c r="AB54" s="209"/>
      <c r="AC54" s="212"/>
    </row>
    <row r="55" spans="1:29" ht="27" customHeight="1" x14ac:dyDescent="0.2">
      <c r="A55" s="415" t="e">
        <f>#REF!</f>
        <v>#REF!</v>
      </c>
      <c r="B55" s="416"/>
      <c r="C55" s="417"/>
      <c r="D55" s="246" t="e">
        <f>#REF!</f>
        <v>#REF!</v>
      </c>
      <c r="E55" s="247"/>
      <c r="F55" s="247"/>
      <c r="G55" s="247"/>
      <c r="H55" s="248"/>
      <c r="I55" s="246" t="e">
        <f>D55</f>
        <v>#REF!</v>
      </c>
      <c r="J55" s="247"/>
      <c r="K55" s="247"/>
      <c r="L55" s="247"/>
      <c r="M55" s="248"/>
      <c r="N55" s="246">
        <f>N47</f>
        <v>0</v>
      </c>
      <c r="O55" s="247"/>
      <c r="P55" s="248"/>
      <c r="Q55" s="246" t="e">
        <f>I55*N55</f>
        <v>#REF!</v>
      </c>
      <c r="R55" s="247"/>
      <c r="S55" s="248"/>
      <c r="T55" s="243"/>
      <c r="U55" s="244"/>
      <c r="V55" s="245"/>
      <c r="W55" s="445"/>
      <c r="X55" s="446"/>
      <c r="Y55" s="447"/>
      <c r="Z55" s="448"/>
      <c r="AA55" s="449"/>
      <c r="AB55" s="449"/>
      <c r="AC55" s="450"/>
    </row>
    <row r="56" spans="1:29" ht="12.6" customHeight="1" x14ac:dyDescent="0.2">
      <c r="A56" s="365" t="s">
        <v>39</v>
      </c>
      <c r="B56" s="209"/>
      <c r="C56" s="210"/>
      <c r="D56" s="246" t="e">
        <f>#REF!</f>
        <v>#REF!</v>
      </c>
      <c r="E56" s="247"/>
      <c r="F56" s="247"/>
      <c r="G56" s="247"/>
      <c r="H56" s="248"/>
      <c r="I56" s="246">
        <f>IFERROR(D56-(I52-D52)-(I53-D53)-(I54-D54),0)</f>
        <v>0</v>
      </c>
      <c r="J56" s="247"/>
      <c r="K56" s="247"/>
      <c r="L56" s="247"/>
      <c r="M56" s="248"/>
      <c r="N56" s="246">
        <f>N47</f>
        <v>0</v>
      </c>
      <c r="O56" s="247"/>
      <c r="P56" s="248"/>
      <c r="Q56" s="246">
        <f>I56*N56</f>
        <v>0</v>
      </c>
      <c r="R56" s="247"/>
      <c r="S56" s="248"/>
      <c r="T56" s="243"/>
      <c r="U56" s="244"/>
      <c r="V56" s="245"/>
      <c r="W56" s="213">
        <f>IFERROR(100*(((T56-Q56)+(T55-Q55))/(Q56+Q55)),0)</f>
        <v>0</v>
      </c>
      <c r="X56" s="241"/>
      <c r="Y56" s="242"/>
      <c r="Z56" s="211" t="s">
        <v>69</v>
      </c>
      <c r="AA56" s="209"/>
      <c r="AB56" s="209"/>
      <c r="AC56" s="212"/>
    </row>
    <row r="57" spans="1:29" ht="12.6" customHeight="1" thickBot="1" x14ac:dyDescent="0.25">
      <c r="A57" s="444" t="s">
        <v>40</v>
      </c>
      <c r="B57" s="266"/>
      <c r="C57" s="349"/>
      <c r="D57" s="438" t="e">
        <f>SUM(D47:D56)</f>
        <v>#REF!</v>
      </c>
      <c r="E57" s="439"/>
      <c r="F57" s="439"/>
      <c r="G57" s="439"/>
      <c r="H57" s="440"/>
      <c r="I57" s="438">
        <f>IFERROR(SUM(I47:I56),0)</f>
        <v>0</v>
      </c>
      <c r="J57" s="439"/>
      <c r="K57" s="439"/>
      <c r="L57" s="439"/>
      <c r="M57" s="440"/>
      <c r="N57" s="360" t="s">
        <v>20</v>
      </c>
      <c r="O57" s="361"/>
      <c r="P57" s="362"/>
      <c r="Q57" s="438" t="e">
        <f>SUM(Q47:Q56)</f>
        <v>#REF!</v>
      </c>
      <c r="R57" s="439"/>
      <c r="S57" s="440"/>
      <c r="T57" s="438">
        <f>SUM(T47:T56)</f>
        <v>0</v>
      </c>
      <c r="U57" s="439"/>
      <c r="V57" s="440"/>
      <c r="W57" s="360" t="s">
        <v>20</v>
      </c>
      <c r="X57" s="361"/>
      <c r="Y57" s="362"/>
      <c r="Z57" s="367" t="s">
        <v>20</v>
      </c>
      <c r="AA57" s="266"/>
      <c r="AB57" s="266"/>
      <c r="AC57" s="267"/>
    </row>
    <row r="58" spans="1:29" ht="13.5" thickBo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16.5" thickBot="1" x14ac:dyDescent="0.3">
      <c r="A59" s="9"/>
      <c r="B59" s="441" t="s">
        <v>74</v>
      </c>
      <c r="C59" s="442"/>
      <c r="D59" s="442"/>
      <c r="E59" s="442"/>
      <c r="F59" s="442"/>
      <c r="G59" s="442"/>
      <c r="H59" s="442"/>
      <c r="I59" s="442"/>
      <c r="J59" s="442"/>
      <c r="K59" s="442"/>
      <c r="L59" s="442"/>
      <c r="M59" s="442"/>
      <c r="N59" s="442"/>
      <c r="O59" s="442"/>
      <c r="P59" s="442"/>
      <c r="Q59" s="442"/>
      <c r="R59" s="442"/>
      <c r="S59" s="442"/>
      <c r="T59" s="442"/>
      <c r="U59" s="442"/>
      <c r="V59" s="442"/>
      <c r="W59" s="442"/>
      <c r="X59" s="442"/>
      <c r="Y59" s="442"/>
      <c r="Z59" s="443"/>
      <c r="AA59" s="9"/>
      <c r="AB59" s="9"/>
      <c r="AC59" s="9"/>
    </row>
    <row r="60" spans="1:29" ht="13.5" thickBot="1" x14ac:dyDescent="0.25">
      <c r="A60" s="9"/>
      <c r="B60" s="20"/>
      <c r="C60" s="14"/>
      <c r="D60" s="11"/>
      <c r="E60" s="11"/>
      <c r="F60" s="11"/>
      <c r="G60" s="11"/>
      <c r="H60" s="11"/>
      <c r="I60" s="11"/>
      <c r="J60" s="11"/>
      <c r="K60" s="12"/>
      <c r="L60" s="249" t="s">
        <v>27</v>
      </c>
      <c r="M60" s="219"/>
      <c r="N60" s="220"/>
      <c r="O60" s="249" t="s">
        <v>41</v>
      </c>
      <c r="P60" s="219"/>
      <c r="Q60" s="220"/>
      <c r="R60" s="249" t="s">
        <v>28</v>
      </c>
      <c r="S60" s="219"/>
      <c r="T60" s="220"/>
      <c r="U60" s="249" t="s">
        <v>29</v>
      </c>
      <c r="V60" s="219"/>
      <c r="W60" s="220"/>
      <c r="X60" s="249" t="s">
        <v>68</v>
      </c>
      <c r="Y60" s="219"/>
      <c r="Z60" s="370"/>
      <c r="AA60" s="9"/>
      <c r="AB60" s="9"/>
      <c r="AC60" s="9"/>
    </row>
    <row r="61" spans="1:29" ht="16.5" thickBot="1" x14ac:dyDescent="0.3">
      <c r="A61" s="31"/>
      <c r="B61" s="418" t="s">
        <v>42</v>
      </c>
      <c r="C61" s="419"/>
      <c r="D61" s="419"/>
      <c r="E61" s="419"/>
      <c r="F61" s="419"/>
      <c r="G61" s="419"/>
      <c r="H61" s="419"/>
      <c r="I61" s="419"/>
      <c r="J61" s="419"/>
      <c r="K61" s="420"/>
      <c r="L61" s="219" t="s">
        <v>43</v>
      </c>
      <c r="M61" s="219"/>
      <c r="N61" s="220"/>
      <c r="O61" s="249" t="s">
        <v>43</v>
      </c>
      <c r="P61" s="219"/>
      <c r="Q61" s="220"/>
      <c r="R61" s="249" t="s">
        <v>43</v>
      </c>
      <c r="S61" s="219"/>
      <c r="T61" s="220"/>
      <c r="U61" s="249" t="s">
        <v>33</v>
      </c>
      <c r="V61" s="219"/>
      <c r="W61" s="220"/>
      <c r="X61" s="249" t="s">
        <v>33</v>
      </c>
      <c r="Y61" s="219"/>
      <c r="Z61" s="370"/>
      <c r="AA61" s="16"/>
      <c r="AB61" s="16"/>
      <c r="AC61" s="9"/>
    </row>
    <row r="62" spans="1:29" ht="13.5" thickBot="1" x14ac:dyDescent="0.25">
      <c r="A62" s="5"/>
      <c r="B62" s="30"/>
      <c r="C62" s="2"/>
      <c r="D62" s="2"/>
      <c r="E62" s="2"/>
      <c r="F62" s="2"/>
      <c r="G62" s="2"/>
      <c r="H62" s="2"/>
      <c r="I62" s="2"/>
      <c r="J62" s="2"/>
      <c r="K62" s="29"/>
      <c r="L62" s="226" t="s">
        <v>44</v>
      </c>
      <c r="M62" s="224"/>
      <c r="N62" s="225"/>
      <c r="O62" s="226" t="s">
        <v>45</v>
      </c>
      <c r="P62" s="224"/>
      <c r="Q62" s="225"/>
      <c r="R62" s="226" t="s">
        <v>45</v>
      </c>
      <c r="S62" s="224"/>
      <c r="T62" s="225"/>
      <c r="U62" s="226" t="s">
        <v>38</v>
      </c>
      <c r="V62" s="224"/>
      <c r="W62" s="225"/>
      <c r="X62" s="226" t="s">
        <v>38</v>
      </c>
      <c r="Y62" s="224"/>
      <c r="Z62" s="227"/>
      <c r="AA62" s="9"/>
      <c r="AB62" s="9"/>
      <c r="AC62" s="9"/>
    </row>
    <row r="63" spans="1:29" ht="17.25" customHeight="1" thickBot="1" x14ac:dyDescent="0.25">
      <c r="A63" s="27"/>
      <c r="B63" s="421" t="e">
        <f>#REF!</f>
        <v>#REF!</v>
      </c>
      <c r="C63" s="422"/>
      <c r="D63" s="422"/>
      <c r="E63" s="422"/>
      <c r="F63" s="422"/>
      <c r="G63" s="422"/>
      <c r="H63" s="422"/>
      <c r="I63" s="422"/>
      <c r="J63" s="422"/>
      <c r="K63" s="423"/>
      <c r="L63" s="260"/>
      <c r="M63" s="260"/>
      <c r="N63" s="261"/>
      <c r="O63" s="451" t="e">
        <f>L63*(Q47+Q48+Q49+Q50)/100</f>
        <v>#REF!</v>
      </c>
      <c r="P63" s="452"/>
      <c r="Q63" s="453"/>
      <c r="R63" s="259"/>
      <c r="S63" s="260"/>
      <c r="T63" s="261"/>
      <c r="U63" s="256" t="str">
        <f>IF(L63=0,"",100*(R63-O63)/O63)</f>
        <v/>
      </c>
      <c r="V63" s="257"/>
      <c r="W63" s="258"/>
      <c r="X63" s="211" t="s">
        <v>71</v>
      </c>
      <c r="Y63" s="209"/>
      <c r="Z63" s="212"/>
      <c r="AA63" s="11"/>
      <c r="AB63" s="9"/>
      <c r="AC63" s="9"/>
    </row>
    <row r="64" spans="1:29" ht="15.75" customHeight="1" thickBot="1" x14ac:dyDescent="0.25">
      <c r="A64" s="28"/>
      <c r="B64" s="421" t="e">
        <f>#REF!</f>
        <v>#REF!</v>
      </c>
      <c r="C64" s="422"/>
      <c r="D64" s="422"/>
      <c r="E64" s="422"/>
      <c r="F64" s="422"/>
      <c r="G64" s="422"/>
      <c r="H64" s="422"/>
      <c r="I64" s="422"/>
      <c r="J64" s="422"/>
      <c r="K64" s="423"/>
      <c r="L64" s="260"/>
      <c r="M64" s="260"/>
      <c r="N64" s="261"/>
      <c r="O64" s="451" t="e">
        <f>L64*(Q47+Q48+Q49+Q50)/100</f>
        <v>#REF!</v>
      </c>
      <c r="P64" s="452"/>
      <c r="Q64" s="453"/>
      <c r="R64" s="259"/>
      <c r="S64" s="260"/>
      <c r="T64" s="261"/>
      <c r="U64" s="256" t="str">
        <f>IF(L64=0,"",100*(R64-O64)/O64)</f>
        <v/>
      </c>
      <c r="V64" s="257"/>
      <c r="W64" s="258"/>
      <c r="X64" s="211" t="s">
        <v>71</v>
      </c>
      <c r="Y64" s="209"/>
      <c r="Z64" s="212"/>
      <c r="AA64" s="11"/>
      <c r="AB64" s="9"/>
      <c r="AC64" s="9"/>
    </row>
    <row r="65" spans="1:29" ht="14.25" customHeight="1" thickBot="1" x14ac:dyDescent="0.25">
      <c r="A65" s="5"/>
      <c r="B65" s="421" t="e">
        <f>#REF!</f>
        <v>#REF!</v>
      </c>
      <c r="C65" s="422"/>
      <c r="D65" s="422"/>
      <c r="E65" s="422"/>
      <c r="F65" s="422"/>
      <c r="G65" s="422"/>
      <c r="H65" s="422"/>
      <c r="I65" s="422"/>
      <c r="J65" s="422"/>
      <c r="K65" s="423"/>
      <c r="L65" s="357"/>
      <c r="M65" s="357"/>
      <c r="N65" s="358"/>
      <c r="O65" s="432" t="e">
        <f>L65*(Q47+Q48+Q49+Q50)/100</f>
        <v>#REF!</v>
      </c>
      <c r="P65" s="433"/>
      <c r="Q65" s="434"/>
      <c r="R65" s="356"/>
      <c r="S65" s="357"/>
      <c r="T65" s="358"/>
      <c r="U65" s="435" t="str">
        <f>IF(L65=0,"",100*(R65-O65)/O65)</f>
        <v/>
      </c>
      <c r="V65" s="436"/>
      <c r="W65" s="437"/>
      <c r="X65" s="265" t="s">
        <v>71</v>
      </c>
      <c r="Y65" s="266"/>
      <c r="Z65" s="267"/>
      <c r="AA65" s="11"/>
      <c r="AB65" s="9"/>
      <c r="AC65" s="9"/>
    </row>
    <row r="66" spans="1:29" ht="14.25" customHeight="1" thickBot="1" x14ac:dyDescent="0.25">
      <c r="A66" s="32"/>
      <c r="B66" s="421" t="e">
        <f>#REF!</f>
        <v>#REF!</v>
      </c>
      <c r="C66" s="422"/>
      <c r="D66" s="422"/>
      <c r="E66" s="422"/>
      <c r="F66" s="422"/>
      <c r="G66" s="422"/>
      <c r="H66" s="422"/>
      <c r="I66" s="422"/>
      <c r="J66" s="422"/>
      <c r="K66" s="423"/>
      <c r="L66" s="357"/>
      <c r="M66" s="357"/>
      <c r="N66" s="358"/>
      <c r="O66" s="432" t="e">
        <f>L66*(Q47+Q48+Q49+Q50)/100</f>
        <v>#REF!</v>
      </c>
      <c r="P66" s="433"/>
      <c r="Q66" s="434"/>
      <c r="R66" s="356"/>
      <c r="S66" s="357"/>
      <c r="T66" s="358"/>
      <c r="U66" s="435" t="str">
        <f>IF(L66=0,"",100*(R66-O66)/O66)</f>
        <v/>
      </c>
      <c r="V66" s="436"/>
      <c r="W66" s="437"/>
      <c r="X66" s="265" t="s">
        <v>71</v>
      </c>
      <c r="Y66" s="266"/>
      <c r="Z66" s="267"/>
      <c r="AA66" s="11"/>
      <c r="AB66" s="9"/>
      <c r="AC66" s="9"/>
    </row>
    <row r="67" spans="1:29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2.6" customHeight="1" x14ac:dyDescent="0.2">
      <c r="A68" s="9" t="s">
        <v>46</v>
      </c>
      <c r="B68" s="9"/>
      <c r="C68" s="9"/>
      <c r="D68" s="9"/>
      <c r="E68" s="14"/>
      <c r="F68" s="14"/>
      <c r="G68" s="14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</row>
    <row r="69" spans="1:29" ht="12.6" customHeight="1" x14ac:dyDescent="0.2">
      <c r="A69" s="283"/>
      <c r="B69" s="283"/>
      <c r="C69" s="283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</row>
    <row r="70" spans="1:29" ht="12.6" customHeight="1" x14ac:dyDescent="0.2">
      <c r="A70" s="283"/>
      <c r="B70" s="283"/>
      <c r="C70" s="283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</row>
    <row r="71" spans="1:29" ht="12.6" customHeight="1" x14ac:dyDescent="0.2">
      <c r="A71" s="283"/>
      <c r="B71" s="283"/>
      <c r="C71" s="283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</row>
    <row r="72" spans="1:29" ht="12.6" customHeight="1" x14ac:dyDescent="0.2">
      <c r="A72" s="283"/>
      <c r="B72" s="283"/>
      <c r="C72" s="283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</row>
    <row r="73" spans="1:29" ht="12.6" customHeight="1" x14ac:dyDescent="0.2">
      <c r="A73" s="283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</row>
    <row r="74" spans="1:29" ht="12.6" customHeight="1" x14ac:dyDescent="0.2">
      <c r="A74" s="457"/>
      <c r="B74" s="457"/>
      <c r="C74" s="457"/>
      <c r="D74" s="457"/>
      <c r="E74" s="457"/>
      <c r="F74" s="457"/>
      <c r="G74" s="457"/>
      <c r="H74" s="457"/>
      <c r="I74" s="457"/>
      <c r="J74" s="457"/>
      <c r="K74" s="457"/>
      <c r="L74" s="457"/>
      <c r="M74" s="457"/>
      <c r="N74" s="457"/>
      <c r="O74" s="457"/>
      <c r="P74" s="457"/>
      <c r="Q74" s="457"/>
      <c r="R74" s="457"/>
      <c r="S74" s="457"/>
      <c r="T74" s="457"/>
      <c r="U74" s="457"/>
      <c r="V74" s="457"/>
      <c r="W74" s="457"/>
      <c r="X74" s="457"/>
      <c r="Y74" s="457"/>
      <c r="Z74" s="456" t="s">
        <v>143</v>
      </c>
      <c r="AA74" s="219"/>
      <c r="AB74" s="219"/>
      <c r="AC74" s="219"/>
    </row>
    <row r="75" spans="1:29" ht="15.75" customHeight="1" x14ac:dyDescent="0.25">
      <c r="B75" s="268" t="s">
        <v>118</v>
      </c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02"/>
      <c r="U75" s="202"/>
      <c r="V75" s="202"/>
      <c r="W75" s="202"/>
      <c r="X75" s="202"/>
      <c r="Y75" s="202"/>
    </row>
    <row r="76" spans="1:29" x14ac:dyDescent="0.2">
      <c r="B76" s="412"/>
      <c r="C76" s="413"/>
      <c r="D76" s="413"/>
      <c r="E76" s="413"/>
      <c r="F76" s="413"/>
      <c r="G76" s="414"/>
      <c r="H76" s="454" t="s">
        <v>1</v>
      </c>
      <c r="I76" s="413"/>
      <c r="J76" s="414"/>
      <c r="K76" s="454" t="s">
        <v>72</v>
      </c>
      <c r="L76" s="413"/>
      <c r="M76" s="414"/>
      <c r="N76" s="454" t="s">
        <v>15</v>
      </c>
      <c r="O76" s="413"/>
      <c r="P76" s="414"/>
      <c r="Q76" s="454" t="s">
        <v>72</v>
      </c>
      <c r="R76" s="413"/>
      <c r="S76" s="413"/>
      <c r="T76" s="454" t="s">
        <v>15</v>
      </c>
      <c r="U76" s="413"/>
      <c r="V76" s="414"/>
      <c r="W76" s="454" t="s">
        <v>72</v>
      </c>
      <c r="X76" s="413"/>
      <c r="Y76" s="455"/>
    </row>
    <row r="77" spans="1:29" x14ac:dyDescent="0.2">
      <c r="B77" s="458" t="s">
        <v>51</v>
      </c>
      <c r="C77" s="276"/>
      <c r="D77" s="276"/>
      <c r="E77" s="276"/>
      <c r="F77" s="276"/>
      <c r="G77" s="277"/>
      <c r="H77" s="276" t="s">
        <v>47</v>
      </c>
      <c r="I77" s="276"/>
      <c r="J77" s="277"/>
      <c r="K77" s="278" t="s">
        <v>48</v>
      </c>
      <c r="L77" s="279"/>
      <c r="M77" s="459"/>
      <c r="N77" s="275" t="s">
        <v>49</v>
      </c>
      <c r="O77" s="276"/>
      <c r="P77" s="277"/>
      <c r="Q77" s="278" t="s">
        <v>50</v>
      </c>
      <c r="R77" s="279"/>
      <c r="S77" s="279"/>
      <c r="T77" s="275" t="s">
        <v>49</v>
      </c>
      <c r="U77" s="276"/>
      <c r="V77" s="277"/>
      <c r="W77" s="278" t="s">
        <v>50</v>
      </c>
      <c r="X77" s="279"/>
      <c r="Y77" s="280"/>
    </row>
    <row r="78" spans="1:29" x14ac:dyDescent="0.2">
      <c r="B78" s="430" t="e">
        <f>#REF!</f>
        <v>#REF!</v>
      </c>
      <c r="C78" s="431"/>
      <c r="D78" s="431"/>
      <c r="E78" s="431"/>
      <c r="F78" s="431"/>
      <c r="G78" s="431"/>
      <c r="H78" s="275" t="s">
        <v>18</v>
      </c>
      <c r="I78" s="276"/>
      <c r="J78" s="277"/>
      <c r="K78" s="278" t="s">
        <v>52</v>
      </c>
      <c r="L78" s="279"/>
      <c r="M78" s="459"/>
      <c r="N78" s="275" t="s">
        <v>18</v>
      </c>
      <c r="O78" s="276"/>
      <c r="P78" s="277"/>
      <c r="Q78" s="278" t="s">
        <v>49</v>
      </c>
      <c r="R78" s="279"/>
      <c r="S78" s="279"/>
      <c r="T78" s="275" t="s">
        <v>119</v>
      </c>
      <c r="U78" s="276"/>
      <c r="V78" s="277"/>
      <c r="W78" s="281" t="s">
        <v>119</v>
      </c>
      <c r="X78" s="279"/>
      <c r="Y78" s="280"/>
    </row>
    <row r="79" spans="1:29" x14ac:dyDescent="0.2">
      <c r="B79" s="427"/>
      <c r="C79" s="233"/>
      <c r="D79" s="233"/>
      <c r="E79" s="233"/>
      <c r="F79" s="233"/>
      <c r="G79" s="234"/>
      <c r="H79" s="232" t="s">
        <v>53</v>
      </c>
      <c r="I79" s="233"/>
      <c r="J79" s="234"/>
      <c r="K79" s="232" t="s">
        <v>18</v>
      </c>
      <c r="L79" s="233"/>
      <c r="M79" s="234"/>
      <c r="N79" s="232" t="s">
        <v>53</v>
      </c>
      <c r="O79" s="233"/>
      <c r="P79" s="234"/>
      <c r="Q79" s="232" t="s">
        <v>18</v>
      </c>
      <c r="R79" s="233"/>
      <c r="S79" s="233"/>
      <c r="T79" s="232" t="s">
        <v>53</v>
      </c>
      <c r="U79" s="233"/>
      <c r="V79" s="234"/>
      <c r="W79" s="232" t="s">
        <v>18</v>
      </c>
      <c r="X79" s="233"/>
      <c r="Y79" s="235"/>
    </row>
    <row r="80" spans="1:29" x14ac:dyDescent="0.2">
      <c r="B80" s="350" t="s">
        <v>54</v>
      </c>
      <c r="C80" s="251"/>
      <c r="D80" s="251"/>
      <c r="E80" s="251"/>
      <c r="F80" s="251"/>
      <c r="G80" s="351"/>
      <c r="H80" s="208">
        <f>IFERROR((T56+T55+T54-(T54/(1+H22/100))+T53-(T53/(1+H19/100))+T52-(T52/(1+H16/100))-(T54*H21/(100+H22))-(T53*H18/(100+H19))-(T52*H15/(100+H16)))/(T47+T48+T49+T50),0)</f>
        <v>0</v>
      </c>
      <c r="I80" s="236"/>
      <c r="J80" s="237"/>
      <c r="K80" s="211"/>
      <c r="L80" s="209"/>
      <c r="M80" s="210"/>
      <c r="N80" s="208" t="str">
        <f>IFERROR(((T56+T55+T54-(T54/(1+O22/100))+T53-(T53/(1+O19/100))+T52-(T52/(1+O16/100))-(T54*O21/(100+O22))-(T53*O18/(100+O19))-(T52*O15/(100+O16)))/(T47+T48+T49+T50)),"")</f>
        <v/>
      </c>
      <c r="O80" s="236"/>
      <c r="P80" s="237"/>
      <c r="Q80" s="211"/>
      <c r="R80" s="209"/>
      <c r="S80" s="209"/>
      <c r="T80" s="208" t="str">
        <f>IFERROR((T56+T55+T54-(T54/(1+V22/100))+T53-(T53/(1+V19/100))+T52-(T52/(1+V16/100))-(T54*V21/(100+V22))-(T53*V18/(100+V19))-(T52*V15/(100+V16)))/(T47+T48+T49+T50),"")</f>
        <v/>
      </c>
      <c r="U80" s="236"/>
      <c r="V80" s="237"/>
      <c r="W80" s="211"/>
      <c r="X80" s="209"/>
      <c r="Y80" s="212"/>
    </row>
    <row r="81" spans="1:92" x14ac:dyDescent="0.2">
      <c r="B81" s="355" t="s">
        <v>89</v>
      </c>
      <c r="C81" s="251"/>
      <c r="D81" s="251"/>
      <c r="E81" s="251"/>
      <c r="F81" s="251"/>
      <c r="G81" s="351"/>
      <c r="H81" s="229"/>
      <c r="I81" s="230"/>
      <c r="J81" s="231"/>
      <c r="K81" s="205"/>
      <c r="L81" s="206"/>
      <c r="M81" s="228"/>
      <c r="N81" s="229"/>
      <c r="O81" s="230"/>
      <c r="P81" s="231"/>
      <c r="Q81" s="205"/>
      <c r="R81" s="206"/>
      <c r="S81" s="206"/>
      <c r="T81" s="229"/>
      <c r="U81" s="230"/>
      <c r="V81" s="231"/>
      <c r="W81" s="205"/>
      <c r="X81" s="206"/>
      <c r="Y81" s="207"/>
    </row>
    <row r="82" spans="1:92" x14ac:dyDescent="0.2">
      <c r="B82" s="350" t="s">
        <v>87</v>
      </c>
      <c r="C82" s="251"/>
      <c r="D82" s="251"/>
      <c r="E82" s="251"/>
      <c r="F82" s="251"/>
      <c r="G82" s="351"/>
      <c r="H82" s="229"/>
      <c r="I82" s="230"/>
      <c r="J82" s="231"/>
      <c r="K82" s="205"/>
      <c r="L82" s="206"/>
      <c r="M82" s="228"/>
      <c r="N82" s="229"/>
      <c r="O82" s="230"/>
      <c r="P82" s="231"/>
      <c r="Q82" s="205"/>
      <c r="R82" s="206"/>
      <c r="S82" s="206"/>
      <c r="T82" s="229"/>
      <c r="U82" s="230"/>
      <c r="V82" s="231"/>
      <c r="W82" s="205"/>
      <c r="X82" s="206"/>
      <c r="Y82" s="207"/>
    </row>
    <row r="83" spans="1:92" x14ac:dyDescent="0.2">
      <c r="B83" s="350" t="s">
        <v>88</v>
      </c>
      <c r="C83" s="251"/>
      <c r="D83" s="251"/>
      <c r="E83" s="251"/>
      <c r="F83" s="251"/>
      <c r="G83" s="351"/>
      <c r="H83" s="208">
        <f>H81-H82</f>
        <v>0</v>
      </c>
      <c r="I83" s="236"/>
      <c r="J83" s="237"/>
      <c r="K83" s="211"/>
      <c r="L83" s="209"/>
      <c r="M83" s="210"/>
      <c r="N83" s="208">
        <f>N81-N82</f>
        <v>0</v>
      </c>
      <c r="O83" s="236"/>
      <c r="P83" s="237"/>
      <c r="Q83" s="211"/>
      <c r="R83" s="209"/>
      <c r="S83" s="209"/>
      <c r="T83" s="208">
        <f>T81-T82</f>
        <v>0</v>
      </c>
      <c r="U83" s="236"/>
      <c r="V83" s="237"/>
      <c r="W83" s="211"/>
      <c r="X83" s="209"/>
      <c r="Y83" s="212"/>
    </row>
    <row r="84" spans="1:92" ht="21.75" customHeight="1" x14ac:dyDescent="0.2">
      <c r="B84" s="352" t="s">
        <v>141</v>
      </c>
      <c r="C84" s="353"/>
      <c r="D84" s="353"/>
      <c r="E84" s="353"/>
      <c r="F84" s="353"/>
      <c r="G84" s="354"/>
      <c r="H84" s="238">
        <f>G37</f>
        <v>0</v>
      </c>
      <c r="I84" s="239"/>
      <c r="J84" s="240"/>
      <c r="K84" s="205"/>
      <c r="L84" s="206"/>
      <c r="M84" s="228"/>
      <c r="N84" s="238">
        <f>M37</f>
        <v>0</v>
      </c>
      <c r="O84" s="239"/>
      <c r="P84" s="240"/>
      <c r="Q84" s="205"/>
      <c r="R84" s="206"/>
      <c r="S84" s="206"/>
      <c r="T84" s="238">
        <f>S37</f>
        <v>0</v>
      </c>
      <c r="U84" s="239"/>
      <c r="V84" s="240"/>
      <c r="W84" s="205"/>
      <c r="X84" s="206"/>
      <c r="Y84" s="207"/>
    </row>
    <row r="85" spans="1:92" ht="12.75" customHeight="1" x14ac:dyDescent="0.2">
      <c r="B85" s="350" t="s">
        <v>79</v>
      </c>
      <c r="C85" s="251"/>
      <c r="D85" s="251"/>
      <c r="E85" s="251"/>
      <c r="F85" s="251"/>
      <c r="G85" s="351"/>
      <c r="H85" s="256">
        <f>IFERROR(H83/H84,0)</f>
        <v>0</v>
      </c>
      <c r="I85" s="257"/>
      <c r="J85" s="258"/>
      <c r="K85" s="270"/>
      <c r="L85" s="255"/>
      <c r="M85" s="461"/>
      <c r="N85" s="256">
        <f>IFERROR(N83/N84,0)</f>
        <v>0</v>
      </c>
      <c r="O85" s="257"/>
      <c r="P85" s="258"/>
      <c r="Q85" s="270"/>
      <c r="R85" s="255"/>
      <c r="S85" s="255"/>
      <c r="T85" s="256">
        <f>IFERROR(T83/T84,0)</f>
        <v>0</v>
      </c>
      <c r="U85" s="257"/>
      <c r="V85" s="258"/>
      <c r="W85" s="270"/>
      <c r="X85" s="255"/>
      <c r="Y85" s="271"/>
    </row>
    <row r="86" spans="1:92" x14ac:dyDescent="0.2">
      <c r="B86" s="350" t="s">
        <v>55</v>
      </c>
      <c r="C86" s="251"/>
      <c r="D86" s="251"/>
      <c r="E86" s="251"/>
      <c r="F86" s="251"/>
      <c r="G86" s="351"/>
      <c r="H86" s="272"/>
      <c r="I86" s="273"/>
      <c r="J86" s="274"/>
      <c r="K86" s="205"/>
      <c r="L86" s="206"/>
      <c r="M86" s="228"/>
      <c r="N86" s="272"/>
      <c r="O86" s="273"/>
      <c r="P86" s="274"/>
      <c r="Q86" s="205"/>
      <c r="R86" s="206"/>
      <c r="S86" s="206"/>
      <c r="T86" s="272"/>
      <c r="U86" s="273"/>
      <c r="V86" s="274"/>
      <c r="W86" s="205"/>
      <c r="X86" s="206"/>
      <c r="Y86" s="207"/>
    </row>
    <row r="87" spans="1:92" x14ac:dyDescent="0.2">
      <c r="B87" s="350" t="s">
        <v>22</v>
      </c>
      <c r="C87" s="251"/>
      <c r="D87" s="251"/>
      <c r="E87" s="251"/>
      <c r="F87" s="251"/>
      <c r="G87" s="351"/>
      <c r="H87" s="256">
        <f>H23</f>
        <v>0</v>
      </c>
      <c r="I87" s="257"/>
      <c r="J87" s="258"/>
      <c r="K87" s="211"/>
      <c r="L87" s="209"/>
      <c r="M87" s="210"/>
      <c r="N87" s="256">
        <f>O23</f>
        <v>0</v>
      </c>
      <c r="O87" s="257"/>
      <c r="P87" s="258"/>
      <c r="Q87" s="211"/>
      <c r="R87" s="209"/>
      <c r="S87" s="209"/>
      <c r="T87" s="256">
        <f>V23</f>
        <v>0</v>
      </c>
      <c r="U87" s="257"/>
      <c r="V87" s="258"/>
      <c r="W87" s="211"/>
      <c r="X87" s="209"/>
      <c r="Y87" s="212"/>
    </row>
    <row r="88" spans="1:92" x14ac:dyDescent="0.2">
      <c r="B88" s="350" t="s">
        <v>96</v>
      </c>
      <c r="C88" s="251"/>
      <c r="D88" s="251"/>
      <c r="E88" s="251"/>
      <c r="F88" s="251"/>
      <c r="G88" s="351"/>
      <c r="H88" s="256">
        <f>H86-H87</f>
        <v>0</v>
      </c>
      <c r="I88" s="257"/>
      <c r="J88" s="258"/>
      <c r="K88" s="211"/>
      <c r="L88" s="209"/>
      <c r="M88" s="210"/>
      <c r="N88" s="256">
        <f>N86-N87</f>
        <v>0</v>
      </c>
      <c r="O88" s="257"/>
      <c r="P88" s="258"/>
      <c r="Q88" s="211"/>
      <c r="R88" s="209"/>
      <c r="S88" s="209"/>
      <c r="T88" s="256">
        <f>T86-T87</f>
        <v>0</v>
      </c>
      <c r="U88" s="257"/>
      <c r="V88" s="258"/>
      <c r="W88" s="211"/>
      <c r="X88" s="209"/>
      <c r="Y88" s="212"/>
    </row>
    <row r="89" spans="1:92" x14ac:dyDescent="0.2">
      <c r="B89" s="350" t="s">
        <v>56</v>
      </c>
      <c r="C89" s="251"/>
      <c r="D89" s="251"/>
      <c r="E89" s="251"/>
      <c r="F89" s="251"/>
      <c r="G89" s="351"/>
      <c r="H89" s="259"/>
      <c r="I89" s="260"/>
      <c r="J89" s="261"/>
      <c r="K89" s="205"/>
      <c r="L89" s="206"/>
      <c r="M89" s="228"/>
      <c r="N89" s="259"/>
      <c r="O89" s="260"/>
      <c r="P89" s="261"/>
      <c r="Q89" s="205"/>
      <c r="R89" s="206"/>
      <c r="S89" s="206"/>
      <c r="T89" s="259"/>
      <c r="U89" s="260"/>
      <c r="V89" s="261"/>
      <c r="W89" s="205"/>
      <c r="X89" s="206"/>
      <c r="Y89" s="207"/>
    </row>
    <row r="90" spans="1:92" ht="13.5" thickBot="1" x14ac:dyDescent="0.25">
      <c r="B90" s="462" t="s">
        <v>57</v>
      </c>
      <c r="C90" s="391"/>
      <c r="D90" s="391"/>
      <c r="E90" s="391"/>
      <c r="F90" s="391"/>
      <c r="G90" s="463"/>
      <c r="H90" s="262">
        <f>IFERROR(T57/(N47*27*H85),0)</f>
        <v>0</v>
      </c>
      <c r="I90" s="263"/>
      <c r="J90" s="264"/>
      <c r="K90" s="265"/>
      <c r="L90" s="266"/>
      <c r="M90" s="349"/>
      <c r="N90" s="262">
        <f>IFERROR(T57/(N47*27*N85),0)</f>
        <v>0</v>
      </c>
      <c r="O90" s="263"/>
      <c r="P90" s="264"/>
      <c r="Q90" s="265"/>
      <c r="R90" s="266"/>
      <c r="S90" s="266"/>
      <c r="T90" s="262">
        <f>IFERROR(T57/(N47*27*T85),0)</f>
        <v>0</v>
      </c>
      <c r="U90" s="263"/>
      <c r="V90" s="264"/>
      <c r="W90" s="265"/>
      <c r="X90" s="266"/>
      <c r="Y90" s="267"/>
    </row>
    <row r="91" spans="1:92" ht="13.5" thickBot="1" x14ac:dyDescent="0.25">
      <c r="G91" s="23"/>
      <c r="H91" s="23"/>
      <c r="I91" s="23"/>
      <c r="J91" s="23"/>
      <c r="K91" s="23"/>
      <c r="L91" s="23"/>
      <c r="M91" s="24"/>
      <c r="N91" s="24"/>
      <c r="O91" s="24"/>
      <c r="P91" s="26"/>
      <c r="Q91" s="26"/>
      <c r="R91" s="26"/>
      <c r="S91" s="24"/>
      <c r="T91" s="24"/>
      <c r="U91" s="24"/>
      <c r="V91" s="26"/>
      <c r="W91" s="26"/>
      <c r="X91" s="26"/>
      <c r="Y91" s="2"/>
      <c r="Z91" s="2"/>
    </row>
    <row r="92" spans="1:92" ht="36" customHeight="1" x14ac:dyDescent="0.25">
      <c r="A92" s="9"/>
      <c r="B92" s="9"/>
      <c r="C92" s="9"/>
      <c r="D92" s="9"/>
      <c r="E92" s="472" t="s">
        <v>99</v>
      </c>
      <c r="F92" s="473"/>
      <c r="G92" s="473"/>
      <c r="H92" s="473"/>
      <c r="I92" s="473"/>
      <c r="J92" s="473"/>
      <c r="K92" s="473"/>
      <c r="L92" s="473"/>
      <c r="M92" s="473"/>
      <c r="N92" s="473"/>
      <c r="O92" s="473"/>
      <c r="P92" s="473"/>
      <c r="Q92" s="473"/>
      <c r="R92" s="473"/>
      <c r="S92" s="473"/>
      <c r="T92" s="473"/>
      <c r="U92" s="473"/>
      <c r="V92" s="473"/>
      <c r="W92" s="473"/>
      <c r="X92" s="473"/>
      <c r="Y92" s="474"/>
      <c r="Z92" s="16"/>
      <c r="AA92" s="16"/>
      <c r="AB92" s="16"/>
      <c r="AC92" s="16"/>
    </row>
    <row r="93" spans="1:92" ht="12.6" customHeight="1" x14ac:dyDescent="0.2">
      <c r="A93" s="9"/>
      <c r="B93" s="9"/>
      <c r="C93" s="9"/>
      <c r="D93" s="9"/>
      <c r="E93" s="18"/>
      <c r="F93" s="17"/>
      <c r="G93" s="19"/>
      <c r="H93" s="475" t="s">
        <v>58</v>
      </c>
      <c r="I93" s="476"/>
      <c r="J93" s="476"/>
      <c r="K93" s="476"/>
      <c r="L93" s="476"/>
      <c r="M93" s="479"/>
      <c r="N93" s="475" t="s">
        <v>72</v>
      </c>
      <c r="O93" s="476"/>
      <c r="P93" s="479"/>
      <c r="Q93" s="475" t="s">
        <v>59</v>
      </c>
      <c r="R93" s="476"/>
      <c r="S93" s="476"/>
      <c r="T93" s="476"/>
      <c r="U93" s="476"/>
      <c r="V93" s="476"/>
      <c r="W93" s="475" t="s">
        <v>72</v>
      </c>
      <c r="X93" s="476"/>
      <c r="Y93" s="477"/>
      <c r="Z93" s="9"/>
      <c r="AA93" s="9"/>
      <c r="AB93" s="9"/>
      <c r="AC93" s="9"/>
    </row>
    <row r="94" spans="1:92" s="1" customFormat="1" ht="12.6" customHeight="1" x14ac:dyDescent="0.2">
      <c r="A94" s="9"/>
      <c r="B94" s="9"/>
      <c r="C94" s="9"/>
      <c r="D94" s="9"/>
      <c r="E94" s="20"/>
      <c r="F94" s="14"/>
      <c r="G94" s="14"/>
      <c r="H94" s="249" t="s">
        <v>61</v>
      </c>
      <c r="I94" s="219"/>
      <c r="J94" s="219"/>
      <c r="K94" s="219"/>
      <c r="L94" s="219"/>
      <c r="M94" s="220"/>
      <c r="N94" s="464" t="s">
        <v>62</v>
      </c>
      <c r="O94" s="456"/>
      <c r="P94" s="465"/>
      <c r="Q94" s="249" t="s">
        <v>63</v>
      </c>
      <c r="R94" s="219"/>
      <c r="S94" s="219"/>
      <c r="T94" s="219"/>
      <c r="U94" s="219"/>
      <c r="V94" s="219"/>
      <c r="W94" s="464" t="s">
        <v>50</v>
      </c>
      <c r="X94" s="456"/>
      <c r="Y94" s="478"/>
      <c r="Z94" s="9"/>
      <c r="AA94" s="9"/>
      <c r="AB94" s="9"/>
      <c r="AC94" s="9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</row>
    <row r="95" spans="1:92" s="1" customFormat="1" ht="12.6" customHeight="1" x14ac:dyDescent="0.2">
      <c r="A95" s="9"/>
      <c r="B95" s="9"/>
      <c r="C95" s="9"/>
      <c r="D95" s="9"/>
      <c r="E95" s="380" t="s">
        <v>60</v>
      </c>
      <c r="F95" s="219"/>
      <c r="G95" s="220"/>
      <c r="H95" s="226" t="s">
        <v>64</v>
      </c>
      <c r="I95" s="224"/>
      <c r="J95" s="224"/>
      <c r="K95" s="224"/>
      <c r="L95" s="224"/>
      <c r="M95" s="224"/>
      <c r="N95" s="464" t="s">
        <v>1</v>
      </c>
      <c r="O95" s="456"/>
      <c r="P95" s="465"/>
      <c r="Q95" s="224" t="s">
        <v>64</v>
      </c>
      <c r="R95" s="224"/>
      <c r="S95" s="224"/>
      <c r="T95" s="224"/>
      <c r="U95" s="224"/>
      <c r="V95" s="224"/>
      <c r="W95" s="464" t="s">
        <v>49</v>
      </c>
      <c r="X95" s="456"/>
      <c r="Y95" s="478"/>
      <c r="Z95" s="9"/>
      <c r="AA95" s="9"/>
      <c r="AB95" s="9"/>
      <c r="AC95" s="9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</row>
    <row r="96" spans="1:92" s="1" customFormat="1" ht="12.6" customHeight="1" x14ac:dyDescent="0.2">
      <c r="A96" s="9"/>
      <c r="B96" s="9"/>
      <c r="C96" s="9"/>
      <c r="D96" s="9"/>
      <c r="E96" s="396"/>
      <c r="F96" s="224"/>
      <c r="G96" s="225"/>
      <c r="H96" s="466" t="s">
        <v>65</v>
      </c>
      <c r="I96" s="466"/>
      <c r="J96" s="466"/>
      <c r="K96" s="466" t="s">
        <v>66</v>
      </c>
      <c r="L96" s="466"/>
      <c r="M96" s="466"/>
      <c r="N96" s="471" t="s">
        <v>18</v>
      </c>
      <c r="O96" s="471"/>
      <c r="P96" s="471"/>
      <c r="Q96" s="466" t="s">
        <v>65</v>
      </c>
      <c r="R96" s="466"/>
      <c r="S96" s="466"/>
      <c r="T96" s="466" t="s">
        <v>66</v>
      </c>
      <c r="U96" s="466"/>
      <c r="V96" s="466"/>
      <c r="W96" s="226" t="s">
        <v>18</v>
      </c>
      <c r="X96" s="224"/>
      <c r="Y96" s="227"/>
      <c r="Z96" s="9"/>
      <c r="AA96" s="9"/>
      <c r="AB96" s="9"/>
      <c r="AC96" s="9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</row>
    <row r="97" spans="1:92" s="1" customFormat="1" ht="12.6" customHeight="1" x14ac:dyDescent="0.2">
      <c r="A97" s="9"/>
      <c r="B97" s="9"/>
      <c r="C97" s="9"/>
      <c r="D97" s="9"/>
      <c r="E97" s="336"/>
      <c r="F97" s="332"/>
      <c r="G97" s="332"/>
      <c r="H97" s="347"/>
      <c r="I97" s="347"/>
      <c r="J97" s="347"/>
      <c r="K97" s="294">
        <f>IFERROR(AVERAGE(H97:J99),0)</f>
        <v>0</v>
      </c>
      <c r="L97" s="295"/>
      <c r="M97" s="296"/>
      <c r="N97" s="332"/>
      <c r="O97" s="332"/>
      <c r="P97" s="332"/>
      <c r="Q97" s="347"/>
      <c r="R97" s="347"/>
      <c r="S97" s="347"/>
      <c r="T97" s="319">
        <f>IFERROR(AVERAGE(Q97:S99),0)</f>
        <v>0</v>
      </c>
      <c r="U97" s="320"/>
      <c r="V97" s="321"/>
      <c r="W97" s="331"/>
      <c r="X97" s="332"/>
      <c r="Y97" s="333"/>
      <c r="Z97" s="9"/>
      <c r="AA97" s="9"/>
      <c r="AB97" s="9"/>
      <c r="AC97" s="9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</row>
    <row r="98" spans="1:92" s="1" customFormat="1" ht="12.6" customHeight="1" x14ac:dyDescent="0.2">
      <c r="A98" s="9"/>
      <c r="B98" s="9"/>
      <c r="C98" s="9"/>
      <c r="D98" s="9"/>
      <c r="E98" s="336"/>
      <c r="F98" s="332"/>
      <c r="G98" s="332"/>
      <c r="H98" s="347"/>
      <c r="I98" s="347"/>
      <c r="J98" s="347"/>
      <c r="K98" s="297"/>
      <c r="L98" s="298"/>
      <c r="M98" s="299"/>
      <c r="N98" s="332"/>
      <c r="O98" s="332"/>
      <c r="P98" s="332"/>
      <c r="Q98" s="347"/>
      <c r="R98" s="347"/>
      <c r="S98" s="347"/>
      <c r="T98" s="322"/>
      <c r="U98" s="323"/>
      <c r="V98" s="324"/>
      <c r="W98" s="331"/>
      <c r="X98" s="332"/>
      <c r="Y98" s="333"/>
      <c r="Z98" s="9"/>
      <c r="AA98" s="9"/>
      <c r="AB98" s="9"/>
      <c r="AC98" s="9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</row>
    <row r="99" spans="1:92" s="1" customFormat="1" ht="12.6" customHeight="1" thickBot="1" x14ac:dyDescent="0.25">
      <c r="A99" s="9"/>
      <c r="B99" s="9"/>
      <c r="C99" s="9"/>
      <c r="D99" s="9"/>
      <c r="E99" s="293"/>
      <c r="F99" s="288"/>
      <c r="G99" s="288"/>
      <c r="H99" s="467"/>
      <c r="I99" s="468"/>
      <c r="J99" s="469"/>
      <c r="K99" s="300"/>
      <c r="L99" s="301"/>
      <c r="M99" s="302"/>
      <c r="N99" s="316"/>
      <c r="O99" s="317"/>
      <c r="P99" s="318"/>
      <c r="Q99" s="467"/>
      <c r="R99" s="468"/>
      <c r="S99" s="469"/>
      <c r="T99" s="325"/>
      <c r="U99" s="326"/>
      <c r="V99" s="327"/>
      <c r="W99" s="470"/>
      <c r="X99" s="317"/>
      <c r="Y99" s="340"/>
      <c r="Z99" s="9"/>
      <c r="AA99" s="9"/>
      <c r="AB99" s="9"/>
      <c r="AC99" s="9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</row>
    <row r="100" spans="1:92" s="1" customFormat="1" ht="12.6" customHeight="1" x14ac:dyDescent="0.2">
      <c r="A100" s="9"/>
      <c r="B100" s="9"/>
      <c r="C100" s="9"/>
      <c r="D100" s="9"/>
      <c r="E100" s="315"/>
      <c r="F100" s="291"/>
      <c r="G100" s="291"/>
      <c r="H100" s="460"/>
      <c r="I100" s="460"/>
      <c r="J100" s="460"/>
      <c r="K100" s="294">
        <f>IFERROR(AVERAGE(H100:J102),0)</f>
        <v>0</v>
      </c>
      <c r="L100" s="295"/>
      <c r="M100" s="296"/>
      <c r="N100" s="291"/>
      <c r="O100" s="291"/>
      <c r="P100" s="291"/>
      <c r="Q100" s="460"/>
      <c r="R100" s="460"/>
      <c r="S100" s="460"/>
      <c r="T100" s="319">
        <f>IFERROR(AVERAGE(Q100:S102),0)</f>
        <v>0</v>
      </c>
      <c r="U100" s="320"/>
      <c r="V100" s="321"/>
      <c r="W100" s="290"/>
      <c r="X100" s="291"/>
      <c r="Y100" s="292"/>
      <c r="Z100" s="9"/>
      <c r="AA100" s="9"/>
      <c r="AB100" s="9"/>
      <c r="AC100" s="9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</row>
    <row r="101" spans="1:92" s="1" customFormat="1" ht="12.6" customHeight="1" x14ac:dyDescent="0.2">
      <c r="A101" s="9"/>
      <c r="B101" s="9"/>
      <c r="C101" s="9"/>
      <c r="D101" s="9"/>
      <c r="E101" s="336"/>
      <c r="F101" s="332"/>
      <c r="G101" s="332"/>
      <c r="H101" s="347"/>
      <c r="I101" s="347"/>
      <c r="J101" s="347"/>
      <c r="K101" s="297"/>
      <c r="L101" s="298"/>
      <c r="M101" s="299"/>
      <c r="N101" s="332"/>
      <c r="O101" s="332"/>
      <c r="P101" s="332"/>
      <c r="Q101" s="347"/>
      <c r="R101" s="347"/>
      <c r="S101" s="347"/>
      <c r="T101" s="322"/>
      <c r="U101" s="323"/>
      <c r="V101" s="324"/>
      <c r="W101" s="331"/>
      <c r="X101" s="332"/>
      <c r="Y101" s="333"/>
      <c r="Z101" s="9"/>
      <c r="AA101" s="9"/>
      <c r="AB101" s="9"/>
      <c r="AC101" s="9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</row>
    <row r="102" spans="1:92" s="1" customFormat="1" ht="12.6" customHeight="1" thickBot="1" x14ac:dyDescent="0.25">
      <c r="A102" s="9"/>
      <c r="B102" s="9"/>
      <c r="C102" s="9"/>
      <c r="D102" s="9"/>
      <c r="E102" s="293"/>
      <c r="F102" s="288"/>
      <c r="G102" s="288"/>
      <c r="H102" s="467"/>
      <c r="I102" s="468"/>
      <c r="J102" s="469"/>
      <c r="K102" s="300"/>
      <c r="L102" s="301"/>
      <c r="M102" s="302"/>
      <c r="N102" s="316"/>
      <c r="O102" s="317"/>
      <c r="P102" s="318"/>
      <c r="Q102" s="467"/>
      <c r="R102" s="468"/>
      <c r="S102" s="469"/>
      <c r="T102" s="325"/>
      <c r="U102" s="326"/>
      <c r="V102" s="327"/>
      <c r="W102" s="470"/>
      <c r="X102" s="317"/>
      <c r="Y102" s="340"/>
      <c r="Z102" s="9"/>
      <c r="AA102" s="9"/>
      <c r="AB102" s="9"/>
      <c r="AC102" s="9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</row>
    <row r="103" spans="1:92" s="1" customFormat="1" ht="12.6" customHeight="1" x14ac:dyDescent="0.2">
      <c r="A103" s="9"/>
      <c r="B103" s="9"/>
      <c r="C103" s="9"/>
      <c r="D103" s="9"/>
      <c r="E103" s="315"/>
      <c r="F103" s="291"/>
      <c r="G103" s="291"/>
      <c r="H103" s="291"/>
      <c r="I103" s="291"/>
      <c r="J103" s="291"/>
      <c r="K103" s="294">
        <f>IFERROR(AVERAGE(H103:J105),0)</f>
        <v>0</v>
      </c>
      <c r="L103" s="295"/>
      <c r="M103" s="296"/>
      <c r="N103" s="291"/>
      <c r="O103" s="291"/>
      <c r="P103" s="291"/>
      <c r="Q103" s="291"/>
      <c r="R103" s="291"/>
      <c r="S103" s="291"/>
      <c r="T103" s="319">
        <f>IFERROR(AVERAGE(Q103:S105),0)</f>
        <v>0</v>
      </c>
      <c r="U103" s="320"/>
      <c r="V103" s="321"/>
      <c r="W103" s="290"/>
      <c r="X103" s="291"/>
      <c r="Y103" s="292"/>
      <c r="Z103" s="9"/>
      <c r="AA103" s="9"/>
      <c r="AB103" s="9"/>
      <c r="AC103" s="9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</row>
    <row r="104" spans="1:92" s="1" customFormat="1" ht="12.6" customHeight="1" x14ac:dyDescent="0.2">
      <c r="A104" s="9"/>
      <c r="B104" s="9"/>
      <c r="C104" s="9"/>
      <c r="D104" s="9"/>
      <c r="E104" s="336"/>
      <c r="F104" s="332"/>
      <c r="G104" s="332"/>
      <c r="H104" s="205"/>
      <c r="I104" s="206"/>
      <c r="J104" s="228"/>
      <c r="K104" s="297"/>
      <c r="L104" s="298"/>
      <c r="M104" s="299"/>
      <c r="N104" s="205"/>
      <c r="O104" s="206"/>
      <c r="P104" s="228"/>
      <c r="Q104" s="205"/>
      <c r="R104" s="206"/>
      <c r="S104" s="228"/>
      <c r="T104" s="322"/>
      <c r="U104" s="323"/>
      <c r="V104" s="324"/>
      <c r="W104" s="348"/>
      <c r="X104" s="206"/>
      <c r="Y104" s="207"/>
      <c r="Z104" s="9"/>
      <c r="AA104" s="9"/>
      <c r="AB104" s="9"/>
      <c r="AC104" s="9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</row>
    <row r="105" spans="1:92" s="1" customFormat="1" ht="12.6" customHeight="1" thickBot="1" x14ac:dyDescent="0.25">
      <c r="A105" s="9"/>
      <c r="B105" s="9"/>
      <c r="C105" s="9"/>
      <c r="D105" s="9"/>
      <c r="E105" s="293"/>
      <c r="F105" s="288"/>
      <c r="G105" s="288"/>
      <c r="H105" s="288"/>
      <c r="I105" s="288"/>
      <c r="J105" s="288"/>
      <c r="K105" s="300"/>
      <c r="L105" s="301"/>
      <c r="M105" s="302"/>
      <c r="N105" s="288"/>
      <c r="O105" s="288"/>
      <c r="P105" s="288"/>
      <c r="Q105" s="288"/>
      <c r="R105" s="288"/>
      <c r="S105" s="288"/>
      <c r="T105" s="325"/>
      <c r="U105" s="326"/>
      <c r="V105" s="327"/>
      <c r="W105" s="287"/>
      <c r="X105" s="288"/>
      <c r="Y105" s="289"/>
      <c r="Z105" s="11"/>
      <c r="AA105" s="11"/>
      <c r="AB105" s="11"/>
      <c r="AC105" s="11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</row>
    <row r="106" spans="1:92" s="1" customFormat="1" ht="12.6" customHeight="1" x14ac:dyDescent="0.2">
      <c r="A106" s="9"/>
      <c r="B106" s="9"/>
      <c r="C106" s="9"/>
      <c r="D106" s="9"/>
      <c r="E106" s="337"/>
      <c r="F106" s="338"/>
      <c r="G106" s="339"/>
      <c r="H106" s="334"/>
      <c r="I106" s="329"/>
      <c r="J106" s="335"/>
      <c r="K106" s="294">
        <f>IFERROR(AVERAGE(H106:J108),0)</f>
        <v>0</v>
      </c>
      <c r="L106" s="295"/>
      <c r="M106" s="296"/>
      <c r="N106" s="334"/>
      <c r="O106" s="329"/>
      <c r="P106" s="335"/>
      <c r="Q106" s="334"/>
      <c r="R106" s="329"/>
      <c r="S106" s="335"/>
      <c r="T106" s="319">
        <f>IFERROR(AVERAGE(Q106:S108),0)</f>
        <v>0</v>
      </c>
      <c r="U106" s="320"/>
      <c r="V106" s="321"/>
      <c r="W106" s="334"/>
      <c r="X106" s="329"/>
      <c r="Y106" s="330"/>
      <c r="Z106" s="11"/>
      <c r="AA106" s="11"/>
      <c r="AB106" s="11"/>
      <c r="AC106" s="11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</row>
    <row r="107" spans="1:92" s="1" customFormat="1" ht="12.6" customHeight="1" x14ac:dyDescent="0.2">
      <c r="A107" s="9"/>
      <c r="B107" s="9"/>
      <c r="C107" s="9"/>
      <c r="D107" s="9"/>
      <c r="E107" s="341"/>
      <c r="F107" s="342"/>
      <c r="G107" s="343"/>
      <c r="H107" s="205"/>
      <c r="I107" s="206"/>
      <c r="J107" s="228"/>
      <c r="K107" s="297"/>
      <c r="L107" s="298"/>
      <c r="M107" s="299"/>
      <c r="N107" s="205"/>
      <c r="O107" s="206"/>
      <c r="P107" s="228"/>
      <c r="Q107" s="205"/>
      <c r="R107" s="206"/>
      <c r="S107" s="228"/>
      <c r="T107" s="322"/>
      <c r="U107" s="323"/>
      <c r="V107" s="324"/>
      <c r="W107" s="205"/>
      <c r="X107" s="206"/>
      <c r="Y107" s="207"/>
      <c r="Z107" s="11"/>
      <c r="AA107" s="11"/>
      <c r="AB107" s="11"/>
      <c r="AC107" s="11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</row>
    <row r="108" spans="1:92" s="1" customFormat="1" ht="12.6" customHeight="1" thickBot="1" x14ac:dyDescent="0.25">
      <c r="A108" s="9"/>
      <c r="B108" s="9"/>
      <c r="C108" s="9"/>
      <c r="D108" s="9"/>
      <c r="E108" s="344"/>
      <c r="F108" s="345"/>
      <c r="G108" s="346"/>
      <c r="H108" s="316"/>
      <c r="I108" s="317"/>
      <c r="J108" s="318"/>
      <c r="K108" s="300"/>
      <c r="L108" s="301"/>
      <c r="M108" s="302"/>
      <c r="N108" s="316"/>
      <c r="O108" s="317"/>
      <c r="P108" s="318"/>
      <c r="Q108" s="316"/>
      <c r="R108" s="317"/>
      <c r="S108" s="318"/>
      <c r="T108" s="325"/>
      <c r="U108" s="326"/>
      <c r="V108" s="327"/>
      <c r="W108" s="316"/>
      <c r="X108" s="317"/>
      <c r="Y108" s="340"/>
      <c r="Z108" s="11"/>
      <c r="AA108" s="11"/>
      <c r="AB108" s="11"/>
      <c r="AC108" s="11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</row>
    <row r="109" spans="1:92" s="1" customFormat="1" ht="12.6" customHeight="1" x14ac:dyDescent="0.2">
      <c r="A109" s="9"/>
      <c r="B109" s="9"/>
      <c r="C109" s="9"/>
      <c r="D109" s="9"/>
      <c r="E109" s="315"/>
      <c r="F109" s="291"/>
      <c r="G109" s="291"/>
      <c r="H109" s="334"/>
      <c r="I109" s="329"/>
      <c r="J109" s="335"/>
      <c r="K109" s="294">
        <f>IFERROR(AVERAGE(H109:J111),0)</f>
        <v>0</v>
      </c>
      <c r="L109" s="295"/>
      <c r="M109" s="296"/>
      <c r="N109" s="334"/>
      <c r="O109" s="329"/>
      <c r="P109" s="335"/>
      <c r="Q109" s="334"/>
      <c r="R109" s="329"/>
      <c r="S109" s="335"/>
      <c r="T109" s="319">
        <f>IFERROR(AVERAGE(Q109:S111),0)</f>
        <v>0</v>
      </c>
      <c r="U109" s="320"/>
      <c r="V109" s="321"/>
      <c r="W109" s="328"/>
      <c r="X109" s="329"/>
      <c r="Y109" s="330"/>
      <c r="Z109" s="11"/>
      <c r="AA109" s="11"/>
      <c r="AB109" s="11"/>
      <c r="AC109" s="11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</row>
    <row r="110" spans="1:92" s="1" customFormat="1" ht="12.6" customHeight="1" x14ac:dyDescent="0.2">
      <c r="A110" s="22"/>
      <c r="B110" s="22"/>
      <c r="C110" s="22"/>
      <c r="D110" s="22"/>
      <c r="E110" s="336"/>
      <c r="F110" s="332"/>
      <c r="G110" s="332"/>
      <c r="H110" s="332"/>
      <c r="I110" s="332"/>
      <c r="J110" s="332"/>
      <c r="K110" s="297"/>
      <c r="L110" s="298"/>
      <c r="M110" s="299"/>
      <c r="N110" s="332"/>
      <c r="O110" s="332"/>
      <c r="P110" s="332"/>
      <c r="Q110" s="205"/>
      <c r="R110" s="206"/>
      <c r="S110" s="228"/>
      <c r="T110" s="322"/>
      <c r="U110" s="323"/>
      <c r="V110" s="324"/>
      <c r="W110" s="331"/>
      <c r="X110" s="332"/>
      <c r="Y110" s="333"/>
      <c r="Z110" s="11"/>
      <c r="AA110" s="11"/>
      <c r="AB110" s="11"/>
      <c r="AC110" s="11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</row>
    <row r="111" spans="1:92" ht="12.6" customHeight="1" thickBot="1" x14ac:dyDescent="0.25">
      <c r="A111" s="22"/>
      <c r="B111" s="22"/>
      <c r="C111" s="22"/>
      <c r="D111" s="22"/>
      <c r="E111" s="293"/>
      <c r="F111" s="288"/>
      <c r="G111" s="288"/>
      <c r="H111" s="288"/>
      <c r="I111" s="288"/>
      <c r="J111" s="288"/>
      <c r="K111" s="300"/>
      <c r="L111" s="301"/>
      <c r="M111" s="302"/>
      <c r="N111" s="288"/>
      <c r="O111" s="288"/>
      <c r="P111" s="288"/>
      <c r="Q111" s="316"/>
      <c r="R111" s="317"/>
      <c r="S111" s="318"/>
      <c r="T111" s="325"/>
      <c r="U111" s="326"/>
      <c r="V111" s="327"/>
      <c r="W111" s="287"/>
      <c r="X111" s="288"/>
      <c r="Y111" s="289"/>
      <c r="Z111" s="11"/>
      <c r="AA111" s="11"/>
      <c r="AB111" s="11"/>
      <c r="AC111" s="11"/>
    </row>
    <row r="112" spans="1:92" ht="12.6" customHeight="1" x14ac:dyDescent="0.2">
      <c r="A112" s="22"/>
      <c r="B112" s="22"/>
      <c r="C112" s="22"/>
      <c r="D112" s="22"/>
      <c r="E112" s="315"/>
      <c r="F112" s="291"/>
      <c r="G112" s="291"/>
      <c r="H112" s="291"/>
      <c r="I112" s="291"/>
      <c r="J112" s="291"/>
      <c r="K112" s="303">
        <f>IFERROR(AVERAGE(H112:J113),0)</f>
        <v>0</v>
      </c>
      <c r="L112" s="304"/>
      <c r="M112" s="305"/>
      <c r="N112" s="291"/>
      <c r="O112" s="291"/>
      <c r="P112" s="291"/>
      <c r="Q112" s="291"/>
      <c r="R112" s="291"/>
      <c r="S112" s="291"/>
      <c r="T112" s="309">
        <f>IFERROR(AVERAGE(Q112:S113),0)</f>
        <v>0</v>
      </c>
      <c r="U112" s="310"/>
      <c r="V112" s="311"/>
      <c r="W112" s="290"/>
      <c r="X112" s="291"/>
      <c r="Y112" s="292"/>
      <c r="Z112" s="11"/>
      <c r="AA112" s="11"/>
      <c r="AB112" s="11"/>
      <c r="AC112" s="11"/>
    </row>
    <row r="113" spans="1:29" ht="12.6" customHeight="1" thickBot="1" x14ac:dyDescent="0.25">
      <c r="A113" s="22"/>
      <c r="B113" s="22"/>
      <c r="C113" s="22"/>
      <c r="D113" s="22"/>
      <c r="E113" s="293"/>
      <c r="F113" s="288"/>
      <c r="G113" s="288"/>
      <c r="H113" s="288"/>
      <c r="I113" s="288"/>
      <c r="J113" s="288"/>
      <c r="K113" s="306"/>
      <c r="L113" s="307"/>
      <c r="M113" s="308"/>
      <c r="N113" s="288"/>
      <c r="O113" s="288"/>
      <c r="P113" s="288"/>
      <c r="Q113" s="288"/>
      <c r="R113" s="288"/>
      <c r="S113" s="288"/>
      <c r="T113" s="312"/>
      <c r="U113" s="313"/>
      <c r="V113" s="314"/>
      <c r="W113" s="287"/>
      <c r="X113" s="288"/>
      <c r="Y113" s="289"/>
      <c r="Z113" s="11"/>
      <c r="AA113" s="11"/>
      <c r="AB113" s="11"/>
      <c r="AC113" s="11"/>
    </row>
    <row r="114" spans="1:29" ht="12.6" customHeight="1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1:29" x14ac:dyDescent="0.2">
      <c r="A115" s="25" t="s">
        <v>67</v>
      </c>
      <c r="B115" s="22"/>
      <c r="C115" s="22"/>
      <c r="D115" s="22"/>
      <c r="E115" s="22"/>
      <c r="F115" s="22"/>
      <c r="G115" s="22"/>
      <c r="H115" s="22"/>
      <c r="I115" s="282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</row>
    <row r="116" spans="1:29" x14ac:dyDescent="0.2">
      <c r="A116" s="282"/>
      <c r="B116" s="283"/>
      <c r="C116" s="283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</row>
    <row r="117" spans="1:29" x14ac:dyDescent="0.2">
      <c r="A117" s="282"/>
      <c r="B117" s="283"/>
      <c r="C117" s="283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</row>
    <row r="118" spans="1:29" x14ac:dyDescent="0.2">
      <c r="A118" s="282"/>
      <c r="B118" s="283"/>
      <c r="C118" s="283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</row>
    <row r="119" spans="1:29" x14ac:dyDescent="0.2">
      <c r="A119" s="282"/>
      <c r="B119" s="283"/>
      <c r="C119" s="283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</row>
    <row r="120" spans="1:29" x14ac:dyDescent="0.2">
      <c r="A120" s="282"/>
      <c r="B120" s="283"/>
      <c r="C120" s="283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</row>
    <row r="121" spans="1:29" x14ac:dyDescent="0.2">
      <c r="A121" s="282"/>
      <c r="B121" s="283"/>
      <c r="C121" s="283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</row>
    <row r="122" spans="1:29" x14ac:dyDescent="0.2">
      <c r="A122" s="282"/>
      <c r="B122" s="283"/>
      <c r="C122" s="283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</row>
    <row r="123" spans="1:29" x14ac:dyDescent="0.2">
      <c r="A123" s="282"/>
      <c r="B123" s="283"/>
      <c r="C123" s="283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</row>
    <row r="124" spans="1:29" ht="13.5" thickBot="1" x14ac:dyDescent="0.25">
      <c r="A124" s="284"/>
      <c r="B124" s="284"/>
      <c r="C124" s="284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5" t="s">
        <v>143</v>
      </c>
      <c r="Z124" s="286"/>
      <c r="AA124" s="286"/>
      <c r="AB124" s="286"/>
      <c r="AC124" s="286"/>
    </row>
    <row r="125" spans="1:29" s="59" customFormat="1" ht="13.5" thickTop="1" x14ac:dyDescent="0.2"/>
    <row r="126" spans="1:29" s="59" customFormat="1" x14ac:dyDescent="0.2"/>
    <row r="127" spans="1:29" s="59" customFormat="1" x14ac:dyDescent="0.2"/>
    <row r="128" spans="1:29" s="59" customFormat="1" x14ac:dyDescent="0.2"/>
    <row r="129" s="59" customFormat="1" x14ac:dyDescent="0.2"/>
    <row r="130" s="59" customFormat="1" x14ac:dyDescent="0.2"/>
    <row r="131" s="59" customFormat="1" x14ac:dyDescent="0.2"/>
    <row r="132" s="59" customFormat="1" x14ac:dyDescent="0.2"/>
    <row r="133" s="59" customFormat="1" x14ac:dyDescent="0.2"/>
    <row r="134" s="59" customFormat="1" x14ac:dyDescent="0.2"/>
    <row r="135" s="59" customFormat="1" x14ac:dyDescent="0.2"/>
    <row r="136" s="59" customFormat="1" x14ac:dyDescent="0.2"/>
    <row r="137" s="59" customFormat="1" x14ac:dyDescent="0.2"/>
    <row r="138" s="59" customFormat="1" x14ac:dyDescent="0.2"/>
    <row r="139" s="59" customFormat="1" x14ac:dyDescent="0.2"/>
    <row r="140" s="59" customFormat="1" x14ac:dyDescent="0.2"/>
    <row r="141" s="59" customFormat="1" x14ac:dyDescent="0.2"/>
    <row r="142" s="59" customFormat="1" x14ac:dyDescent="0.2"/>
    <row r="143" s="59" customFormat="1" x14ac:dyDescent="0.2"/>
    <row r="144" s="59" customFormat="1" x14ac:dyDescent="0.2"/>
    <row r="145" s="59" customFormat="1" x14ac:dyDescent="0.2"/>
    <row r="146" s="59" customFormat="1" x14ac:dyDescent="0.2"/>
    <row r="147" s="59" customFormat="1" x14ac:dyDescent="0.2"/>
    <row r="148" s="59" customFormat="1" x14ac:dyDescent="0.2"/>
    <row r="149" s="59" customFormat="1" x14ac:dyDescent="0.2"/>
    <row r="150" s="59" customFormat="1" x14ac:dyDescent="0.2"/>
    <row r="151" s="59" customFormat="1" x14ac:dyDescent="0.2"/>
    <row r="152" s="59" customFormat="1" x14ac:dyDescent="0.2"/>
    <row r="153" s="59" customFormat="1" x14ac:dyDescent="0.2"/>
    <row r="154" s="59" customFormat="1" x14ac:dyDescent="0.2"/>
    <row r="155" s="59" customFormat="1" x14ac:dyDescent="0.2"/>
    <row r="156" s="59" customFormat="1" x14ac:dyDescent="0.2"/>
    <row r="157" s="59" customFormat="1" x14ac:dyDescent="0.2"/>
    <row r="158" s="59" customFormat="1" x14ac:dyDescent="0.2"/>
    <row r="159" s="59" customFormat="1" x14ac:dyDescent="0.2"/>
    <row r="160" s="59" customFormat="1" x14ac:dyDescent="0.2"/>
    <row r="161" s="59" customFormat="1" x14ac:dyDescent="0.2"/>
    <row r="162" s="59" customFormat="1" x14ac:dyDescent="0.2"/>
    <row r="163" s="59" customFormat="1" x14ac:dyDescent="0.2"/>
    <row r="164" s="59" customFormat="1" x14ac:dyDescent="0.2"/>
    <row r="165" s="59" customFormat="1" x14ac:dyDescent="0.2"/>
    <row r="166" s="59" customFormat="1" x14ac:dyDescent="0.2"/>
    <row r="167" s="59" customFormat="1" x14ac:dyDescent="0.2"/>
    <row r="168" s="59" customFormat="1" x14ac:dyDescent="0.2"/>
    <row r="169" s="59" customFormat="1" x14ac:dyDescent="0.2"/>
    <row r="170" s="59" customFormat="1" x14ac:dyDescent="0.2"/>
    <row r="171" s="59" customFormat="1" x14ac:dyDescent="0.2"/>
    <row r="172" s="59" customFormat="1" x14ac:dyDescent="0.2"/>
    <row r="173" s="59" customFormat="1" x14ac:dyDescent="0.2"/>
    <row r="174" s="59" customFormat="1" x14ac:dyDescent="0.2"/>
    <row r="175" s="59" customFormat="1" x14ac:dyDescent="0.2"/>
    <row r="176" s="59" customFormat="1" x14ac:dyDescent="0.2"/>
    <row r="177" s="59" customFormat="1" x14ac:dyDescent="0.2"/>
    <row r="178" s="59" customFormat="1" x14ac:dyDescent="0.2"/>
    <row r="179" s="59" customFormat="1" x14ac:dyDescent="0.2"/>
    <row r="180" s="59" customFormat="1" x14ac:dyDescent="0.2"/>
    <row r="181" s="59" customFormat="1" x14ac:dyDescent="0.2"/>
    <row r="182" s="59" customFormat="1" x14ac:dyDescent="0.2"/>
    <row r="183" s="59" customFormat="1" x14ac:dyDescent="0.2"/>
    <row r="184" s="59" customFormat="1" x14ac:dyDescent="0.2"/>
    <row r="185" s="59" customFormat="1" x14ac:dyDescent="0.2"/>
    <row r="186" s="59" customFormat="1" x14ac:dyDescent="0.2"/>
    <row r="187" s="59" customFormat="1" x14ac:dyDescent="0.2"/>
    <row r="188" s="59" customFormat="1" x14ac:dyDescent="0.2"/>
    <row r="189" s="59" customFormat="1" x14ac:dyDescent="0.2"/>
    <row r="190" s="59" customFormat="1" x14ac:dyDescent="0.2"/>
    <row r="191" s="59" customFormat="1" x14ac:dyDescent="0.2"/>
    <row r="192" s="59" customFormat="1" x14ac:dyDescent="0.2"/>
    <row r="193" s="59" customFormat="1" x14ac:dyDescent="0.2"/>
    <row r="194" s="59" customFormat="1" x14ac:dyDescent="0.2"/>
    <row r="195" s="59" customFormat="1" x14ac:dyDescent="0.2"/>
    <row r="196" s="59" customFormat="1" x14ac:dyDescent="0.2"/>
    <row r="197" s="59" customFormat="1" x14ac:dyDescent="0.2"/>
    <row r="198" s="59" customFormat="1" x14ac:dyDescent="0.2"/>
    <row r="199" s="59" customFormat="1" x14ac:dyDescent="0.2"/>
    <row r="200" s="59" customFormat="1" x14ac:dyDescent="0.2"/>
    <row r="201" s="59" customFormat="1" x14ac:dyDescent="0.2"/>
    <row r="202" s="59" customFormat="1" x14ac:dyDescent="0.2"/>
    <row r="203" s="59" customFormat="1" x14ac:dyDescent="0.2"/>
    <row r="204" s="59" customFormat="1" x14ac:dyDescent="0.2"/>
    <row r="205" s="59" customFormat="1" x14ac:dyDescent="0.2"/>
    <row r="206" s="59" customFormat="1" x14ac:dyDescent="0.2"/>
    <row r="207" s="59" customFormat="1" x14ac:dyDescent="0.2"/>
    <row r="208" s="59" customFormat="1" x14ac:dyDescent="0.2"/>
  </sheetData>
  <sheetProtection password="DE78" sheet="1" objects="1" scenarios="1" formatCells="0" selectLockedCells="1"/>
  <mergeCells count="611">
    <mergeCell ref="U29:V29"/>
    <mergeCell ref="U31:V31"/>
    <mergeCell ref="Y26:AC26"/>
    <mergeCell ref="Y27:Z27"/>
    <mergeCell ref="AA27:AB27"/>
    <mergeCell ref="Y28:Z28"/>
    <mergeCell ref="AA28:AB28"/>
    <mergeCell ref="Y29:Z29"/>
    <mergeCell ref="AA29:AB29"/>
    <mergeCell ref="Y30:Z30"/>
    <mergeCell ref="AA30:AB30"/>
    <mergeCell ref="Y31:Z31"/>
    <mergeCell ref="AA31:AB31"/>
    <mergeCell ref="B37:F37"/>
    <mergeCell ref="W38:X38"/>
    <mergeCell ref="W39:X39"/>
    <mergeCell ref="M36:R36"/>
    <mergeCell ref="S36:W36"/>
    <mergeCell ref="A35:AC35"/>
    <mergeCell ref="AA32:AB32"/>
    <mergeCell ref="AA33:AB33"/>
    <mergeCell ref="S33:T33"/>
    <mergeCell ref="Y32:Z32"/>
    <mergeCell ref="Y33:Z33"/>
    <mergeCell ref="B39:F39"/>
    <mergeCell ref="B38:F38"/>
    <mergeCell ref="G38:H38"/>
    <mergeCell ref="I38:J38"/>
    <mergeCell ref="K38:L38"/>
    <mergeCell ref="M38:N38"/>
    <mergeCell ref="O38:P38"/>
    <mergeCell ref="Q38:R38"/>
    <mergeCell ref="S38:T38"/>
    <mergeCell ref="G39:H39"/>
    <mergeCell ref="I39:J39"/>
    <mergeCell ref="K39:L39"/>
    <mergeCell ref="M39:N39"/>
    <mergeCell ref="A26:A27"/>
    <mergeCell ref="J28:L28"/>
    <mergeCell ref="J29:L29"/>
    <mergeCell ref="J31:L31"/>
    <mergeCell ref="J30:L30"/>
    <mergeCell ref="S28:T28"/>
    <mergeCell ref="S29:T29"/>
    <mergeCell ref="W31:X31"/>
    <mergeCell ref="W30:X30"/>
    <mergeCell ref="S31:T31"/>
    <mergeCell ref="B31:F31"/>
    <mergeCell ref="O27:P27"/>
    <mergeCell ref="Q27:R27"/>
    <mergeCell ref="O28:P28"/>
    <mergeCell ref="O29:P29"/>
    <mergeCell ref="Q28:R28"/>
    <mergeCell ref="Q29:R29"/>
    <mergeCell ref="O30:P30"/>
    <mergeCell ref="S27:T27"/>
    <mergeCell ref="U27:V27"/>
    <mergeCell ref="W27:X27"/>
    <mergeCell ref="W28:X28"/>
    <mergeCell ref="B26:I27"/>
    <mergeCell ref="U28:V28"/>
    <mergeCell ref="N96:P96"/>
    <mergeCell ref="E92:Y92"/>
    <mergeCell ref="Q93:V93"/>
    <mergeCell ref="W93:Y93"/>
    <mergeCell ref="E95:G95"/>
    <mergeCell ref="H95:M95"/>
    <mergeCell ref="N95:P95"/>
    <mergeCell ref="Q95:V95"/>
    <mergeCell ref="W95:Y95"/>
    <mergeCell ref="W94:Y94"/>
    <mergeCell ref="H93:M93"/>
    <mergeCell ref="N93:P93"/>
    <mergeCell ref="W100:Y100"/>
    <mergeCell ref="N100:P100"/>
    <mergeCell ref="K100:M102"/>
    <mergeCell ref="T100:V102"/>
    <mergeCell ref="W96:Y96"/>
    <mergeCell ref="Q99:S99"/>
    <mergeCell ref="W101:Y101"/>
    <mergeCell ref="H102:J102"/>
    <mergeCell ref="N102:P102"/>
    <mergeCell ref="Q102:S102"/>
    <mergeCell ref="W102:Y102"/>
    <mergeCell ref="Q100:S100"/>
    <mergeCell ref="Q101:S101"/>
    <mergeCell ref="H99:J99"/>
    <mergeCell ref="Q96:S96"/>
    <mergeCell ref="W97:Y97"/>
    <mergeCell ref="Q97:S97"/>
    <mergeCell ref="W99:Y99"/>
    <mergeCell ref="N97:P97"/>
    <mergeCell ref="T97:V99"/>
    <mergeCell ref="N99:P99"/>
    <mergeCell ref="W98:Y98"/>
    <mergeCell ref="T96:V96"/>
    <mergeCell ref="H96:J96"/>
    <mergeCell ref="H100:J100"/>
    <mergeCell ref="H101:J101"/>
    <mergeCell ref="E99:G99"/>
    <mergeCell ref="A21:G21"/>
    <mergeCell ref="A22:G22"/>
    <mergeCell ref="H20:J20"/>
    <mergeCell ref="N47:P47"/>
    <mergeCell ref="D45:H45"/>
    <mergeCell ref="D44:H44"/>
    <mergeCell ref="A23:G23"/>
    <mergeCell ref="D48:H48"/>
    <mergeCell ref="D51:H51"/>
    <mergeCell ref="I50:M50"/>
    <mergeCell ref="K85:M85"/>
    <mergeCell ref="D43:H43"/>
    <mergeCell ref="O63:Q63"/>
    <mergeCell ref="H89:J89"/>
    <mergeCell ref="H90:J90"/>
    <mergeCell ref="B90:G90"/>
    <mergeCell ref="H94:M94"/>
    <mergeCell ref="N94:P94"/>
    <mergeCell ref="Q94:V94"/>
    <mergeCell ref="E96:G96"/>
    <mergeCell ref="K96:M96"/>
    <mergeCell ref="N78:P78"/>
    <mergeCell ref="K82:M82"/>
    <mergeCell ref="N82:P82"/>
    <mergeCell ref="Q83:S83"/>
    <mergeCell ref="Q84:S84"/>
    <mergeCell ref="K79:M79"/>
    <mergeCell ref="Q81:S81"/>
    <mergeCell ref="N79:P79"/>
    <mergeCell ref="K84:M84"/>
    <mergeCell ref="K78:M78"/>
    <mergeCell ref="N80:P80"/>
    <mergeCell ref="N81:P81"/>
    <mergeCell ref="Z52:AC52"/>
    <mergeCell ref="B77:G77"/>
    <mergeCell ref="N77:P77"/>
    <mergeCell ref="D54:H54"/>
    <mergeCell ref="I54:M54"/>
    <mergeCell ref="N76:P76"/>
    <mergeCell ref="I56:M56"/>
    <mergeCell ref="N56:P56"/>
    <mergeCell ref="T57:V57"/>
    <mergeCell ref="K77:M77"/>
    <mergeCell ref="R63:T63"/>
    <mergeCell ref="D57:H57"/>
    <mergeCell ref="A70:AC70"/>
    <mergeCell ref="O65:Q65"/>
    <mergeCell ref="K76:M76"/>
    <mergeCell ref="B66:K66"/>
    <mergeCell ref="L66:N66"/>
    <mergeCell ref="W57:Y57"/>
    <mergeCell ref="Z53:AC53"/>
    <mergeCell ref="U65:W65"/>
    <mergeCell ref="Q76:S76"/>
    <mergeCell ref="X64:Z64"/>
    <mergeCell ref="H77:J77"/>
    <mergeCell ref="I57:M57"/>
    <mergeCell ref="O62:Q62"/>
    <mergeCell ref="R62:T62"/>
    <mergeCell ref="X63:Z63"/>
    <mergeCell ref="R64:T64"/>
    <mergeCell ref="O64:Q64"/>
    <mergeCell ref="L65:N65"/>
    <mergeCell ref="X66:Z66"/>
    <mergeCell ref="T76:V76"/>
    <mergeCell ref="W76:Y76"/>
    <mergeCell ref="Z74:AC74"/>
    <mergeCell ref="A72:AC72"/>
    <mergeCell ref="U64:W64"/>
    <mergeCell ref="A74:Y74"/>
    <mergeCell ref="H76:J76"/>
    <mergeCell ref="B64:K64"/>
    <mergeCell ref="B65:K65"/>
    <mergeCell ref="L64:N64"/>
    <mergeCell ref="A73:AC73"/>
    <mergeCell ref="X65:Z65"/>
    <mergeCell ref="A71:AC71"/>
    <mergeCell ref="Z56:AC56"/>
    <mergeCell ref="Z54:AC54"/>
    <mergeCell ref="T55:V55"/>
    <mergeCell ref="U61:W61"/>
    <mergeCell ref="Q57:S57"/>
    <mergeCell ref="O61:Q61"/>
    <mergeCell ref="B59:Z59"/>
    <mergeCell ref="D53:H53"/>
    <mergeCell ref="T52:V52"/>
    <mergeCell ref="I53:M53"/>
    <mergeCell ref="N52:P52"/>
    <mergeCell ref="Q52:S52"/>
    <mergeCell ref="N53:P53"/>
    <mergeCell ref="A57:C57"/>
    <mergeCell ref="R60:T60"/>
    <mergeCell ref="T56:V56"/>
    <mergeCell ref="W55:Y55"/>
    <mergeCell ref="D56:H56"/>
    <mergeCell ref="Q53:S53"/>
    <mergeCell ref="T53:V53"/>
    <mergeCell ref="W54:Y54"/>
    <mergeCell ref="W53:Y53"/>
    <mergeCell ref="U60:W60"/>
    <mergeCell ref="Z55:AC55"/>
    <mergeCell ref="B79:G79"/>
    <mergeCell ref="K80:M80"/>
    <mergeCell ref="Q78:S78"/>
    <mergeCell ref="Q80:S80"/>
    <mergeCell ref="D50:H50"/>
    <mergeCell ref="I51:M51"/>
    <mergeCell ref="B54:C54"/>
    <mergeCell ref="N54:P54"/>
    <mergeCell ref="Q54:S54"/>
    <mergeCell ref="I52:M52"/>
    <mergeCell ref="B52:C52"/>
    <mergeCell ref="B53:C53"/>
    <mergeCell ref="N50:P50"/>
    <mergeCell ref="B80:G80"/>
    <mergeCell ref="Q51:S51"/>
    <mergeCell ref="O60:Q60"/>
    <mergeCell ref="H78:J78"/>
    <mergeCell ref="B78:G78"/>
    <mergeCell ref="Q77:S77"/>
    <mergeCell ref="H68:AC68"/>
    <mergeCell ref="A69:AC69"/>
    <mergeCell ref="O66:Q66"/>
    <mergeCell ref="R66:T66"/>
    <mergeCell ref="U66:W66"/>
    <mergeCell ref="T54:V54"/>
    <mergeCell ref="B76:G76"/>
    <mergeCell ref="D55:H55"/>
    <mergeCell ref="I55:M55"/>
    <mergeCell ref="Q55:S55"/>
    <mergeCell ref="A56:C56"/>
    <mergeCell ref="A55:C55"/>
    <mergeCell ref="B61:K61"/>
    <mergeCell ref="B63:K63"/>
    <mergeCell ref="A52:A54"/>
    <mergeCell ref="U63:W63"/>
    <mergeCell ref="W52:Y52"/>
    <mergeCell ref="Q56:S56"/>
    <mergeCell ref="N55:P55"/>
    <mergeCell ref="R65:T65"/>
    <mergeCell ref="X61:Z61"/>
    <mergeCell ref="R61:T61"/>
    <mergeCell ref="L60:N60"/>
    <mergeCell ref="L63:N63"/>
    <mergeCell ref="X60:Z60"/>
    <mergeCell ref="X62:Z62"/>
    <mergeCell ref="U62:W62"/>
    <mergeCell ref="L61:N61"/>
    <mergeCell ref="L62:N62"/>
    <mergeCell ref="D46:H46"/>
    <mergeCell ref="D49:H49"/>
    <mergeCell ref="H19:J19"/>
    <mergeCell ref="K19:N19"/>
    <mergeCell ref="H21:J21"/>
    <mergeCell ref="I47:M47"/>
    <mergeCell ref="A20:G20"/>
    <mergeCell ref="K20:N20"/>
    <mergeCell ref="A19:G19"/>
    <mergeCell ref="H22:J22"/>
    <mergeCell ref="A43:C43"/>
    <mergeCell ref="I43:M43"/>
    <mergeCell ref="A44:C44"/>
    <mergeCell ref="B33:G33"/>
    <mergeCell ref="J33:L33"/>
    <mergeCell ref="B28:I28"/>
    <mergeCell ref="B29:I29"/>
    <mergeCell ref="B30:H30"/>
    <mergeCell ref="M33:N33"/>
    <mergeCell ref="M28:N28"/>
    <mergeCell ref="M29:N29"/>
    <mergeCell ref="M30:N30"/>
    <mergeCell ref="M37:R37"/>
    <mergeCell ref="O39:P39"/>
    <mergeCell ref="A45:C45"/>
    <mergeCell ref="D52:H52"/>
    <mergeCell ref="A51:C51"/>
    <mergeCell ref="A50:C50"/>
    <mergeCell ref="A47:C47"/>
    <mergeCell ref="A48:C48"/>
    <mergeCell ref="A17:G17"/>
    <mergeCell ref="A13:G13"/>
    <mergeCell ref="A14:G14"/>
    <mergeCell ref="A18:G18"/>
    <mergeCell ref="B32:H32"/>
    <mergeCell ref="G37:L37"/>
    <mergeCell ref="G36:L36"/>
    <mergeCell ref="A49:C49"/>
    <mergeCell ref="A25:AC25"/>
    <mergeCell ref="Z48:AC48"/>
    <mergeCell ref="W43:Y43"/>
    <mergeCell ref="O23:Q23"/>
    <mergeCell ref="O22:Q22"/>
    <mergeCell ref="T45:V45"/>
    <mergeCell ref="A41:AC41"/>
    <mergeCell ref="W46:Y46"/>
    <mergeCell ref="Q43:S43"/>
    <mergeCell ref="I46:M46"/>
    <mergeCell ref="O18:Q18"/>
    <mergeCell ref="T46:V46"/>
    <mergeCell ref="Y22:AB22"/>
    <mergeCell ref="V23:X23"/>
    <mergeCell ref="Y23:AB23"/>
    <mergeCell ref="T47:V47"/>
    <mergeCell ref="T48:V48"/>
    <mergeCell ref="W47:Y47"/>
    <mergeCell ref="I45:M45"/>
    <mergeCell ref="N44:P44"/>
    <mergeCell ref="N46:P46"/>
    <mergeCell ref="Z43:AC43"/>
    <mergeCell ref="Z44:AC44"/>
    <mergeCell ref="T44:V44"/>
    <mergeCell ref="R23:U23"/>
    <mergeCell ref="M26:R26"/>
    <mergeCell ref="S26:X26"/>
    <mergeCell ref="M27:N27"/>
    <mergeCell ref="W29:X29"/>
    <mergeCell ref="U38:V38"/>
    <mergeCell ref="Q33:R33"/>
    <mergeCell ref="W32:X32"/>
    <mergeCell ref="W33:X33"/>
    <mergeCell ref="W44:Y44"/>
    <mergeCell ref="S30:T30"/>
    <mergeCell ref="U30:V30"/>
    <mergeCell ref="A42:C42"/>
    <mergeCell ref="A46:C46"/>
    <mergeCell ref="O20:Q20"/>
    <mergeCell ref="V21:X21"/>
    <mergeCell ref="J26:L27"/>
    <mergeCell ref="A11:G11"/>
    <mergeCell ref="H13:J13"/>
    <mergeCell ref="H14:J14"/>
    <mergeCell ref="A12:G12"/>
    <mergeCell ref="K17:N17"/>
    <mergeCell ref="K11:N11"/>
    <mergeCell ref="H17:J17"/>
    <mergeCell ref="H18:J18"/>
    <mergeCell ref="O11:Q11"/>
    <mergeCell ref="H12:J12"/>
    <mergeCell ref="O13:Q13"/>
    <mergeCell ref="O17:Q17"/>
    <mergeCell ref="K16:N16"/>
    <mergeCell ref="O16:Q16"/>
    <mergeCell ref="O15:Q15"/>
    <mergeCell ref="O14:Q14"/>
    <mergeCell ref="K18:N18"/>
    <mergeCell ref="O33:P33"/>
    <mergeCell ref="Q32:R32"/>
    <mergeCell ref="I44:M44"/>
    <mergeCell ref="I49:M49"/>
    <mergeCell ref="O32:P32"/>
    <mergeCell ref="O31:P31"/>
    <mergeCell ref="Q31:R31"/>
    <mergeCell ref="S37:W37"/>
    <mergeCell ref="Q39:R39"/>
    <mergeCell ref="S39:T39"/>
    <mergeCell ref="U39:V39"/>
    <mergeCell ref="J32:L32"/>
    <mergeCell ref="Q44:S44"/>
    <mergeCell ref="I48:M48"/>
    <mergeCell ref="C2:E2"/>
    <mergeCell ref="R12:U12"/>
    <mergeCell ref="F4:M4"/>
    <mergeCell ref="Z47:AC47"/>
    <mergeCell ref="Z50:AC50"/>
    <mergeCell ref="Z46:AC46"/>
    <mergeCell ref="Z42:AC42"/>
    <mergeCell ref="T50:V50"/>
    <mergeCell ref="Z49:AC49"/>
    <mergeCell ref="Q45:S45"/>
    <mergeCell ref="W48:Y48"/>
    <mergeCell ref="Q42:S42"/>
    <mergeCell ref="T43:V43"/>
    <mergeCell ref="Q47:S47"/>
    <mergeCell ref="Q46:S46"/>
    <mergeCell ref="R20:U20"/>
    <mergeCell ref="O19:Q19"/>
    <mergeCell ref="O21:Q21"/>
    <mergeCell ref="N48:P48"/>
    <mergeCell ref="Q48:S48"/>
    <mergeCell ref="Y21:AB21"/>
    <mergeCell ref="V22:X22"/>
    <mergeCell ref="H16:J16"/>
    <mergeCell ref="K15:N15"/>
    <mergeCell ref="R13:U13"/>
    <mergeCell ref="K14:N14"/>
    <mergeCell ref="O12:Q12"/>
    <mergeCell ref="N45:P45"/>
    <mergeCell ref="H23:J23"/>
    <mergeCell ref="A1:AC1"/>
    <mergeCell ref="N57:P57"/>
    <mergeCell ref="W5:AB5"/>
    <mergeCell ref="A6:AB6"/>
    <mergeCell ref="P7:AB7"/>
    <mergeCell ref="A8:AB8"/>
    <mergeCell ref="J2:L2"/>
    <mergeCell ref="P2:AB2"/>
    <mergeCell ref="J3:AB3"/>
    <mergeCell ref="A15:G15"/>
    <mergeCell ref="A16:G16"/>
    <mergeCell ref="R14:U14"/>
    <mergeCell ref="K12:N12"/>
    <mergeCell ref="K13:N13"/>
    <mergeCell ref="R11:U11"/>
    <mergeCell ref="Z57:AC57"/>
    <mergeCell ref="W56:Y56"/>
    <mergeCell ref="D47:H47"/>
    <mergeCell ref="K23:N23"/>
    <mergeCell ref="B83:G83"/>
    <mergeCell ref="B84:G84"/>
    <mergeCell ref="K83:M83"/>
    <mergeCell ref="H86:J86"/>
    <mergeCell ref="H80:J80"/>
    <mergeCell ref="H85:J85"/>
    <mergeCell ref="B86:G86"/>
    <mergeCell ref="B81:G81"/>
    <mergeCell ref="H81:J81"/>
    <mergeCell ref="B82:G82"/>
    <mergeCell ref="H82:J82"/>
    <mergeCell ref="H83:J83"/>
    <mergeCell ref="H84:J84"/>
    <mergeCell ref="K90:M90"/>
    <mergeCell ref="Q85:S85"/>
    <mergeCell ref="B85:G85"/>
    <mergeCell ref="K89:M89"/>
    <mergeCell ref="B88:G88"/>
    <mergeCell ref="N87:P87"/>
    <mergeCell ref="B89:G89"/>
    <mergeCell ref="N85:P85"/>
    <mergeCell ref="N86:P86"/>
    <mergeCell ref="Q90:S90"/>
    <mergeCell ref="N90:P90"/>
    <mergeCell ref="Q89:S89"/>
    <mergeCell ref="Q88:S88"/>
    <mergeCell ref="N89:P89"/>
    <mergeCell ref="N88:P88"/>
    <mergeCell ref="K86:M86"/>
    <mergeCell ref="K88:M88"/>
    <mergeCell ref="K87:M87"/>
    <mergeCell ref="H88:J88"/>
    <mergeCell ref="B87:G87"/>
    <mergeCell ref="H87:J87"/>
    <mergeCell ref="E97:G97"/>
    <mergeCell ref="N103:P103"/>
    <mergeCell ref="Q103:S103"/>
    <mergeCell ref="T103:V105"/>
    <mergeCell ref="W103:Y103"/>
    <mergeCell ref="Q98:S98"/>
    <mergeCell ref="H97:J97"/>
    <mergeCell ref="K97:M99"/>
    <mergeCell ref="E104:G104"/>
    <mergeCell ref="H104:J104"/>
    <mergeCell ref="E102:G102"/>
    <mergeCell ref="N104:P104"/>
    <mergeCell ref="Q104:S104"/>
    <mergeCell ref="W104:Y104"/>
    <mergeCell ref="N105:P105"/>
    <mergeCell ref="Q105:S105"/>
    <mergeCell ref="W105:Y105"/>
    <mergeCell ref="E105:G105"/>
    <mergeCell ref="E98:G98"/>
    <mergeCell ref="H98:J98"/>
    <mergeCell ref="N98:P98"/>
    <mergeCell ref="E100:G100"/>
    <mergeCell ref="E101:G101"/>
    <mergeCell ref="N101:P101"/>
    <mergeCell ref="E103:G103"/>
    <mergeCell ref="H103:J103"/>
    <mergeCell ref="K103:M105"/>
    <mergeCell ref="E106:G106"/>
    <mergeCell ref="H106:J106"/>
    <mergeCell ref="K106:M108"/>
    <mergeCell ref="H108:J108"/>
    <mergeCell ref="W106:Y106"/>
    <mergeCell ref="H105:J105"/>
    <mergeCell ref="Q106:S106"/>
    <mergeCell ref="W108:Y108"/>
    <mergeCell ref="N106:P106"/>
    <mergeCell ref="E107:G107"/>
    <mergeCell ref="H107:J107"/>
    <mergeCell ref="N107:P107"/>
    <mergeCell ref="Q107:S107"/>
    <mergeCell ref="W107:Y107"/>
    <mergeCell ref="N108:P108"/>
    <mergeCell ref="Q108:S108"/>
    <mergeCell ref="T106:V108"/>
    <mergeCell ref="E108:G108"/>
    <mergeCell ref="K109:M111"/>
    <mergeCell ref="W111:Y111"/>
    <mergeCell ref="K112:M113"/>
    <mergeCell ref="N112:P112"/>
    <mergeCell ref="T112:V113"/>
    <mergeCell ref="E112:G112"/>
    <mergeCell ref="H112:J112"/>
    <mergeCell ref="N111:P111"/>
    <mergeCell ref="Q111:S111"/>
    <mergeCell ref="H111:J111"/>
    <mergeCell ref="T109:V111"/>
    <mergeCell ref="W109:Y109"/>
    <mergeCell ref="W110:Y110"/>
    <mergeCell ref="E111:G111"/>
    <mergeCell ref="E109:G109"/>
    <mergeCell ref="N109:P109"/>
    <mergeCell ref="Q109:S109"/>
    <mergeCell ref="E110:G110"/>
    <mergeCell ref="H110:J110"/>
    <mergeCell ref="N110:P110"/>
    <mergeCell ref="Q110:S110"/>
    <mergeCell ref="H109:J109"/>
    <mergeCell ref="A122:AC122"/>
    <mergeCell ref="A123:AC123"/>
    <mergeCell ref="A124:X124"/>
    <mergeCell ref="Y124:AC124"/>
    <mergeCell ref="A117:AC117"/>
    <mergeCell ref="I115:AC115"/>
    <mergeCell ref="A116:AC116"/>
    <mergeCell ref="W113:Y113"/>
    <mergeCell ref="W112:Y112"/>
    <mergeCell ref="E113:G113"/>
    <mergeCell ref="H113:J113"/>
    <mergeCell ref="N113:P113"/>
    <mergeCell ref="Q113:S113"/>
    <mergeCell ref="Q112:S112"/>
    <mergeCell ref="A118:AC118"/>
    <mergeCell ref="A119:AC119"/>
    <mergeCell ref="A120:AC120"/>
    <mergeCell ref="A121:AC121"/>
    <mergeCell ref="T88:V88"/>
    <mergeCell ref="W88:Y88"/>
    <mergeCell ref="T89:V89"/>
    <mergeCell ref="W89:Y89"/>
    <mergeCell ref="T90:V90"/>
    <mergeCell ref="W90:Y90"/>
    <mergeCell ref="B75:Y75"/>
    <mergeCell ref="T82:V82"/>
    <mergeCell ref="W82:Y82"/>
    <mergeCell ref="T83:V83"/>
    <mergeCell ref="W83:Y83"/>
    <mergeCell ref="T84:V84"/>
    <mergeCell ref="W84:Y84"/>
    <mergeCell ref="T85:V85"/>
    <mergeCell ref="W85:Y85"/>
    <mergeCell ref="T86:V86"/>
    <mergeCell ref="W86:Y86"/>
    <mergeCell ref="T77:V77"/>
    <mergeCell ref="W77:Y77"/>
    <mergeCell ref="T78:V78"/>
    <mergeCell ref="W78:Y78"/>
    <mergeCell ref="T79:V79"/>
    <mergeCell ref="T87:V87"/>
    <mergeCell ref="W87:Y87"/>
    <mergeCell ref="W51:Y51"/>
    <mergeCell ref="Z51:AC51"/>
    <mergeCell ref="T51:V51"/>
    <mergeCell ref="W50:Y50"/>
    <mergeCell ref="W49:Y49"/>
    <mergeCell ref="N49:P49"/>
    <mergeCell ref="Q49:S49"/>
    <mergeCell ref="R19:U19"/>
    <mergeCell ref="V20:X20"/>
    <mergeCell ref="Y20:AB20"/>
    <mergeCell ref="R21:U21"/>
    <mergeCell ref="R22:U22"/>
    <mergeCell ref="K21:N21"/>
    <mergeCell ref="K22:N22"/>
    <mergeCell ref="T49:V49"/>
    <mergeCell ref="Q50:S50"/>
    <mergeCell ref="N51:P51"/>
    <mergeCell ref="N43:P43"/>
    <mergeCell ref="U32:V32"/>
    <mergeCell ref="U33:V33"/>
    <mergeCell ref="Q30:R30"/>
    <mergeCell ref="S32:T32"/>
    <mergeCell ref="M31:N31"/>
    <mergeCell ref="M32:N32"/>
    <mergeCell ref="W80:Y80"/>
    <mergeCell ref="T81:V81"/>
    <mergeCell ref="W81:Y81"/>
    <mergeCell ref="Q87:S87"/>
    <mergeCell ref="Q86:S86"/>
    <mergeCell ref="H79:J79"/>
    <mergeCell ref="K81:M81"/>
    <mergeCell ref="W79:Y79"/>
    <mergeCell ref="T80:V80"/>
    <mergeCell ref="Q82:S82"/>
    <mergeCell ref="N83:P83"/>
    <mergeCell ref="N84:P84"/>
    <mergeCell ref="Q79:S79"/>
    <mergeCell ref="A10:AB10"/>
    <mergeCell ref="V16:X16"/>
    <mergeCell ref="Y16:AB16"/>
    <mergeCell ref="V17:X17"/>
    <mergeCell ref="Y17:AB17"/>
    <mergeCell ref="V18:X18"/>
    <mergeCell ref="Y18:AB18"/>
    <mergeCell ref="V19:X19"/>
    <mergeCell ref="Y19:AB19"/>
    <mergeCell ref="V11:X11"/>
    <mergeCell ref="Y11:AB11"/>
    <mergeCell ref="V12:X12"/>
    <mergeCell ref="Y12:AB12"/>
    <mergeCell ref="V13:X13"/>
    <mergeCell ref="Y13:AB13"/>
    <mergeCell ref="V14:X14"/>
    <mergeCell ref="Y14:AB14"/>
    <mergeCell ref="V15:X15"/>
    <mergeCell ref="Y15:AB15"/>
    <mergeCell ref="R18:U18"/>
    <mergeCell ref="R17:U17"/>
    <mergeCell ref="R15:U15"/>
    <mergeCell ref="R16:U16"/>
    <mergeCell ref="H15:J15"/>
  </mergeCells>
  <phoneticPr fontId="0" type="noConversion"/>
  <conditionalFormatting sqref="B65:K66">
    <cfRule type="containsErrors" dxfId="11" priority="61" stopIfTrue="1">
      <formula>ISERROR(B65)</formula>
    </cfRule>
  </conditionalFormatting>
  <conditionalFormatting sqref="B63:K64">
    <cfRule type="containsErrors" dxfId="10" priority="60" stopIfTrue="1">
      <formula>ISERROR(B63)</formula>
    </cfRule>
  </conditionalFormatting>
  <conditionalFormatting sqref="N47:Y57">
    <cfRule type="cellIs" dxfId="9" priority="58" operator="equal">
      <formula>0</formula>
    </cfRule>
    <cfRule type="cellIs" priority="59" operator="equal">
      <formula>0</formula>
    </cfRule>
  </conditionalFormatting>
  <conditionalFormatting sqref="D47:M52 D54:M57 D53:H53">
    <cfRule type="cellIs" dxfId="8" priority="57" operator="equal">
      <formula>0</formula>
    </cfRule>
  </conditionalFormatting>
  <conditionalFormatting sqref="H81:Y90 H80:M80 Q80:S80 W80:Y80">
    <cfRule type="cellIs" dxfId="7" priority="56" operator="equal">
      <formula>0</formula>
    </cfRule>
  </conditionalFormatting>
  <conditionalFormatting sqref="J2:L2 P2:AB2 F4:M4">
    <cfRule type="cellIs" dxfId="6" priority="54" operator="equal">
      <formula>0</formula>
    </cfRule>
  </conditionalFormatting>
  <conditionalFormatting sqref="B78:G78">
    <cfRule type="cellIs" dxfId="5" priority="53" operator="equal">
      <formula>0</formula>
    </cfRule>
  </conditionalFormatting>
  <conditionalFormatting sqref="I52:M54">
    <cfRule type="containsErrors" dxfId="4" priority="35">
      <formula>ISERROR(I52)</formula>
    </cfRule>
  </conditionalFormatting>
  <conditionalFormatting sqref="G39:X39">
    <cfRule type="containsErrors" dxfId="3" priority="23">
      <formula>ISERROR(G39)</formula>
    </cfRule>
  </conditionalFormatting>
  <conditionalFormatting sqref="I53:M54">
    <cfRule type="cellIs" dxfId="2" priority="3" operator="equal">
      <formula>0</formula>
    </cfRule>
  </conditionalFormatting>
  <conditionalFormatting sqref="W50:Y50">
    <cfRule type="cellIs" dxfId="1" priority="2" operator="equal">
      <formula>0</formula>
    </cfRule>
  </conditionalFormatting>
  <conditionalFormatting sqref="K97:M113 T97:V113">
    <cfRule type="cellIs" dxfId="0" priority="1" operator="equal">
      <formula>0</formula>
    </cfRule>
  </conditionalFormatting>
  <printOptions horizontalCentered="1" verticalCentered="1"/>
  <pageMargins left="0" right="0" top="0" bottom="0" header="0" footer="0"/>
  <pageSetup scale="75" orientation="portrait" r:id="rId1"/>
  <headerFooter alignWithMargins="0">
    <oddFooter>Page &amp;P of &amp;N</oddFooter>
  </headerFooter>
  <rowBreaks count="1" manualBreakCount="1">
    <brk id="74" max="28" man="1"/>
  </rowBreaks>
  <ignoredErrors>
    <ignoredError sqref="H20:H21" unlockedFormula="1"/>
    <ignoredError sqref="G39:X39 R33 X33 J54:M54 J52:M52 J53:M53" evalError="1"/>
    <ignoredError sqref="V19 V16 O16 O19 W5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5C356-B0CF-42DC-B313-97106B8E18CA}">
  <sheetPr>
    <pageSetUpPr fitToPage="1"/>
  </sheetPr>
  <dimension ref="A1:AO116"/>
  <sheetViews>
    <sheetView showGridLines="0" tabSelected="1" zoomScale="80" zoomScaleNormal="80" workbookViewId="0">
      <pane ySplit="27" topLeftCell="A28" activePane="bottomLeft" state="frozen"/>
      <selection pane="bottomLeft" activeCell="C3" sqref="C3"/>
    </sheetView>
  </sheetViews>
  <sheetFormatPr defaultRowHeight="12.75" x14ac:dyDescent="0.2"/>
  <cols>
    <col min="1" max="1" width="1.7109375" customWidth="1"/>
    <col min="2" max="2" width="19.85546875" customWidth="1"/>
    <col min="3" max="3" width="13.85546875" style="120" customWidth="1"/>
    <col min="4" max="9" width="12.7109375" style="120" customWidth="1"/>
    <col min="10" max="11" width="12.7109375" customWidth="1"/>
    <col min="12" max="12" width="12" customWidth="1"/>
    <col min="13" max="13" width="13" customWidth="1"/>
    <col min="14" max="14" width="14.28515625" customWidth="1"/>
    <col min="15" max="15" width="13.42578125" customWidth="1"/>
    <col min="16" max="16" width="11.7109375" customWidth="1"/>
    <col min="17" max="17" width="12.140625" customWidth="1"/>
    <col min="18" max="18" width="11.42578125" customWidth="1"/>
    <col min="19" max="19" width="10.7109375" customWidth="1"/>
  </cols>
  <sheetData>
    <row r="1" spans="1:22" ht="13.5" thickBot="1" x14ac:dyDescent="0.25">
      <c r="A1" s="9"/>
      <c r="B1" s="182" t="s">
        <v>173</v>
      </c>
      <c r="C1" s="119"/>
      <c r="D1" s="119"/>
      <c r="E1" s="119"/>
      <c r="F1" s="119"/>
      <c r="G1" s="119"/>
      <c r="H1" s="119"/>
      <c r="I1" s="11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42" customHeight="1" x14ac:dyDescent="0.2">
      <c r="A2" s="9"/>
      <c r="B2" s="129" t="s">
        <v>100</v>
      </c>
      <c r="C2" s="130" t="s">
        <v>171</v>
      </c>
      <c r="D2" s="131" t="s">
        <v>169</v>
      </c>
      <c r="E2" s="132" t="s">
        <v>170</v>
      </c>
      <c r="F2" s="133"/>
      <c r="G2" s="119"/>
      <c r="H2" s="119"/>
      <c r="I2" s="11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4.25" x14ac:dyDescent="0.2">
      <c r="A3" s="9"/>
      <c r="B3" s="134" t="s">
        <v>149</v>
      </c>
      <c r="C3" s="126">
        <v>100</v>
      </c>
      <c r="D3" s="135">
        <v>100</v>
      </c>
      <c r="E3" s="136">
        <v>100</v>
      </c>
      <c r="F3" s="90"/>
      <c r="G3" s="119"/>
      <c r="H3" s="119"/>
      <c r="I3" s="119"/>
      <c r="J3" s="9"/>
      <c r="K3" s="9"/>
      <c r="L3" s="9"/>
      <c r="M3" s="9"/>
      <c r="N3" s="9"/>
      <c r="O3" s="137" t="s">
        <v>164</v>
      </c>
      <c r="P3" s="138"/>
      <c r="Q3" s="138"/>
      <c r="R3" s="138"/>
      <c r="S3" s="138"/>
      <c r="T3" s="138"/>
      <c r="U3" s="138"/>
      <c r="V3" s="9"/>
    </row>
    <row r="4" spans="1:22" ht="14.25" x14ac:dyDescent="0.2">
      <c r="A4" s="9"/>
      <c r="B4" s="139" t="s">
        <v>159</v>
      </c>
      <c r="C4" s="126">
        <v>100</v>
      </c>
      <c r="D4" s="135">
        <v>100</v>
      </c>
      <c r="E4" s="136">
        <v>100</v>
      </c>
      <c r="F4" s="90"/>
      <c r="G4" s="119"/>
      <c r="H4" s="119"/>
      <c r="I4" s="119"/>
      <c r="J4" s="9"/>
      <c r="K4" s="9"/>
      <c r="L4" s="9"/>
      <c r="M4" s="9"/>
      <c r="N4" s="9"/>
      <c r="O4" s="140"/>
      <c r="P4" s="141" t="s">
        <v>110</v>
      </c>
      <c r="Q4" s="142">
        <f>SUM(M42:M45)</f>
        <v>28.804182509505708</v>
      </c>
      <c r="R4" s="141" t="s">
        <v>114</v>
      </c>
      <c r="S4" s="143" t="s">
        <v>115</v>
      </c>
      <c r="T4" s="111"/>
      <c r="U4" s="115"/>
      <c r="V4" s="9"/>
    </row>
    <row r="5" spans="1:22" ht="15" x14ac:dyDescent="0.25">
      <c r="A5" s="9"/>
      <c r="B5" s="144" t="s">
        <v>147</v>
      </c>
      <c r="C5" s="126">
        <v>100</v>
      </c>
      <c r="D5" s="135">
        <v>100</v>
      </c>
      <c r="E5" s="136">
        <v>100</v>
      </c>
      <c r="F5" s="90"/>
      <c r="G5" s="119"/>
      <c r="H5" s="119"/>
      <c r="I5" s="119"/>
      <c r="J5" s="9"/>
      <c r="K5" s="9"/>
      <c r="L5" s="9"/>
      <c r="M5" s="9"/>
      <c r="N5" s="9"/>
      <c r="O5" s="145"/>
      <c r="P5" s="146"/>
      <c r="Q5" s="147"/>
      <c r="R5" s="114"/>
      <c r="S5" s="148" t="s">
        <v>116</v>
      </c>
      <c r="T5" s="114"/>
      <c r="U5" s="117"/>
      <c r="V5" s="9"/>
    </row>
    <row r="6" spans="1:22" ht="14.25" x14ac:dyDescent="0.2">
      <c r="A6" s="9"/>
      <c r="B6" s="139" t="s">
        <v>148</v>
      </c>
      <c r="C6" s="126">
        <v>74</v>
      </c>
      <c r="D6" s="135">
        <v>100</v>
      </c>
      <c r="E6" s="136">
        <v>100</v>
      </c>
      <c r="F6" s="90"/>
      <c r="G6" s="119"/>
      <c r="H6" s="119"/>
      <c r="I6" s="119"/>
      <c r="J6" s="9"/>
      <c r="K6" s="9"/>
      <c r="L6" s="9"/>
      <c r="M6" s="9"/>
      <c r="N6" s="9"/>
      <c r="O6" s="149"/>
      <c r="P6" s="99" t="s">
        <v>109</v>
      </c>
      <c r="Q6" s="150">
        <f>SUM(M40:M42)</f>
        <v>20.190114068441069</v>
      </c>
      <c r="R6" s="99" t="s">
        <v>113</v>
      </c>
      <c r="S6" s="151" t="s">
        <v>111</v>
      </c>
      <c r="T6" s="112"/>
      <c r="U6" s="113"/>
      <c r="V6" s="9"/>
    </row>
    <row r="7" spans="1:22" ht="14.25" x14ac:dyDescent="0.2">
      <c r="A7" s="9"/>
      <c r="B7" s="144" t="s">
        <v>150</v>
      </c>
      <c r="C7" s="126">
        <v>28</v>
      </c>
      <c r="D7" s="135">
        <v>100</v>
      </c>
      <c r="E7" s="136">
        <v>100</v>
      </c>
      <c r="F7" s="90"/>
      <c r="G7" s="119"/>
      <c r="H7" s="119"/>
      <c r="I7" s="119"/>
      <c r="J7" s="9"/>
      <c r="K7" s="9"/>
      <c r="L7" s="9"/>
      <c r="M7" s="9"/>
      <c r="N7" s="9"/>
      <c r="O7" s="21"/>
      <c r="P7" s="114"/>
      <c r="Q7" s="114"/>
      <c r="R7" s="114"/>
      <c r="S7" s="148" t="s">
        <v>112</v>
      </c>
      <c r="T7" s="114"/>
      <c r="U7" s="117"/>
      <c r="V7" s="9"/>
    </row>
    <row r="8" spans="1:22" ht="14.25" x14ac:dyDescent="0.2">
      <c r="A8" s="9"/>
      <c r="B8" s="139" t="s">
        <v>151</v>
      </c>
      <c r="C8" s="126">
        <v>13</v>
      </c>
      <c r="D8" s="135">
        <v>100</v>
      </c>
      <c r="E8" s="136">
        <v>100</v>
      </c>
      <c r="F8" s="90"/>
      <c r="G8" s="119"/>
      <c r="H8" s="119"/>
      <c r="I8" s="119"/>
      <c r="J8" s="9"/>
      <c r="K8" s="9"/>
      <c r="L8" s="9"/>
      <c r="M8" s="9"/>
      <c r="N8" s="9"/>
      <c r="O8" s="152" t="s">
        <v>165</v>
      </c>
      <c r="P8" s="138"/>
      <c r="Q8" s="138"/>
      <c r="R8" s="138"/>
      <c r="S8" s="138"/>
      <c r="T8" s="138"/>
      <c r="U8" s="138"/>
      <c r="V8" s="9"/>
    </row>
    <row r="9" spans="1:22" ht="14.25" x14ac:dyDescent="0.2">
      <c r="A9" s="9"/>
      <c r="B9" s="139" t="s">
        <v>152</v>
      </c>
      <c r="C9" s="126">
        <v>2</v>
      </c>
      <c r="D9" s="135">
        <v>100</v>
      </c>
      <c r="E9" s="136">
        <v>98</v>
      </c>
      <c r="F9" s="90"/>
      <c r="G9" s="119"/>
      <c r="H9" s="119"/>
      <c r="I9" s="119"/>
      <c r="J9" s="9"/>
      <c r="K9" s="9"/>
      <c r="L9" s="9"/>
      <c r="M9" s="9"/>
      <c r="N9" s="9"/>
      <c r="O9" s="140"/>
      <c r="P9" s="141" t="s">
        <v>110</v>
      </c>
      <c r="Q9" s="142">
        <f>SUM(M63:M66)</f>
        <v>32.473358705994301</v>
      </c>
      <c r="R9" s="141" t="s">
        <v>114</v>
      </c>
      <c r="S9" s="143" t="s">
        <v>115</v>
      </c>
      <c r="T9" s="111"/>
      <c r="U9" s="115"/>
      <c r="V9" s="9"/>
    </row>
    <row r="10" spans="1:22" ht="14.25" x14ac:dyDescent="0.2">
      <c r="A10" s="9"/>
      <c r="B10" s="139" t="s">
        <v>153</v>
      </c>
      <c r="C10" s="126">
        <v>1</v>
      </c>
      <c r="D10" s="135">
        <v>93</v>
      </c>
      <c r="E10" s="136">
        <v>83</v>
      </c>
      <c r="F10" s="90"/>
      <c r="G10" s="119"/>
      <c r="H10" s="119"/>
      <c r="I10" s="119"/>
      <c r="J10" s="9"/>
      <c r="K10" s="9"/>
      <c r="L10" s="9"/>
      <c r="M10" s="9"/>
      <c r="N10" s="9"/>
      <c r="O10" s="145"/>
      <c r="P10" s="146"/>
      <c r="Q10" s="153"/>
      <c r="R10" s="114"/>
      <c r="S10" s="148" t="s">
        <v>116</v>
      </c>
      <c r="T10" s="114"/>
      <c r="U10" s="117"/>
      <c r="V10" s="9"/>
    </row>
    <row r="11" spans="1:22" ht="14.25" x14ac:dyDescent="0.2">
      <c r="A11" s="9"/>
      <c r="B11" s="139" t="s">
        <v>154</v>
      </c>
      <c r="C11" s="126">
        <v>0</v>
      </c>
      <c r="D11" s="135">
        <v>75</v>
      </c>
      <c r="E11" s="136">
        <v>63</v>
      </c>
      <c r="F11" s="90"/>
      <c r="G11" s="119"/>
      <c r="H11" s="119"/>
      <c r="I11" s="119"/>
      <c r="J11" s="9"/>
      <c r="K11" s="9"/>
      <c r="L11" s="9"/>
      <c r="M11" s="9"/>
      <c r="N11" s="9"/>
      <c r="O11" s="149"/>
      <c r="P11" s="99" t="s">
        <v>109</v>
      </c>
      <c r="Q11" s="150">
        <f>SUM(M61:M63)</f>
        <v>22.483349191246436</v>
      </c>
      <c r="R11" s="99" t="s">
        <v>113</v>
      </c>
      <c r="S11" s="151" t="s">
        <v>111</v>
      </c>
      <c r="T11" s="112"/>
      <c r="U11" s="113"/>
      <c r="V11" s="9"/>
    </row>
    <row r="12" spans="1:22" ht="14.25" x14ac:dyDescent="0.2">
      <c r="A12" s="9"/>
      <c r="B12" s="139" t="s">
        <v>155</v>
      </c>
      <c r="C12" s="126">
        <v>0</v>
      </c>
      <c r="D12" s="135">
        <v>52</v>
      </c>
      <c r="E12" s="136">
        <v>37</v>
      </c>
      <c r="F12" s="90"/>
      <c r="G12" s="119"/>
      <c r="H12" s="119"/>
      <c r="I12" s="119"/>
      <c r="J12" s="9"/>
      <c r="K12" s="9"/>
      <c r="L12" s="9"/>
      <c r="M12" s="9"/>
      <c r="N12" s="9"/>
      <c r="O12" s="21"/>
      <c r="P12" s="114"/>
      <c r="Q12" s="154"/>
      <c r="R12" s="114"/>
      <c r="S12" s="148" t="s">
        <v>112</v>
      </c>
      <c r="T12" s="114"/>
      <c r="U12" s="117"/>
      <c r="V12" s="9"/>
    </row>
    <row r="13" spans="1:22" ht="14.25" x14ac:dyDescent="0.2">
      <c r="A13" s="9"/>
      <c r="B13" s="139" t="s">
        <v>156</v>
      </c>
      <c r="C13" s="126">
        <v>0</v>
      </c>
      <c r="D13" s="135">
        <v>21</v>
      </c>
      <c r="E13" s="136">
        <v>11</v>
      </c>
      <c r="F13" s="90"/>
      <c r="G13" s="119"/>
      <c r="H13" s="119"/>
      <c r="I13" s="119"/>
      <c r="J13" s="9"/>
      <c r="K13" s="9"/>
      <c r="L13" s="9"/>
      <c r="M13" s="9"/>
      <c r="N13" s="9"/>
      <c r="O13" s="152" t="s">
        <v>166</v>
      </c>
      <c r="P13" s="138"/>
      <c r="Q13" s="138"/>
      <c r="R13" s="138"/>
      <c r="S13" s="138"/>
      <c r="T13" s="138"/>
      <c r="U13" s="138"/>
      <c r="V13" s="9"/>
    </row>
    <row r="14" spans="1:22" ht="14.25" x14ac:dyDescent="0.2">
      <c r="A14" s="9"/>
      <c r="B14" s="139" t="s">
        <v>157</v>
      </c>
      <c r="C14" s="126">
        <v>0</v>
      </c>
      <c r="D14" s="135">
        <v>4</v>
      </c>
      <c r="E14" s="136">
        <v>1</v>
      </c>
      <c r="F14" s="90"/>
      <c r="G14" s="119"/>
      <c r="H14" s="119"/>
      <c r="I14" s="119"/>
      <c r="J14" s="9"/>
      <c r="K14" s="9"/>
      <c r="L14" s="9"/>
      <c r="M14" s="9"/>
      <c r="N14" s="9"/>
      <c r="O14" s="140"/>
      <c r="P14" s="141" t="s">
        <v>110</v>
      </c>
      <c r="Q14" s="155">
        <f>SUM(M83:M86)</f>
        <v>24.57300380228137</v>
      </c>
      <c r="R14" s="141" t="s">
        <v>114</v>
      </c>
      <c r="S14" s="143" t="s">
        <v>115</v>
      </c>
      <c r="T14" s="111"/>
      <c r="U14" s="115"/>
      <c r="V14" s="9"/>
    </row>
    <row r="15" spans="1:22" ht="14.25" x14ac:dyDescent="0.2">
      <c r="A15" s="9"/>
      <c r="B15" s="156" t="s">
        <v>158</v>
      </c>
      <c r="C15" s="127">
        <v>0.3</v>
      </c>
      <c r="D15" s="157">
        <v>1.7</v>
      </c>
      <c r="E15" s="158">
        <v>0.4</v>
      </c>
      <c r="F15" s="90"/>
      <c r="G15" s="119"/>
      <c r="H15" s="119"/>
      <c r="I15" s="119"/>
      <c r="J15" s="9"/>
      <c r="K15" s="9"/>
      <c r="L15" s="9"/>
      <c r="M15" s="9"/>
      <c r="N15" s="9"/>
      <c r="O15" s="145"/>
      <c r="P15" s="146"/>
      <c r="Q15" s="153"/>
      <c r="R15" s="114"/>
      <c r="S15" s="148" t="s">
        <v>116</v>
      </c>
      <c r="T15" s="114"/>
      <c r="U15" s="117"/>
      <c r="V15" s="9"/>
    </row>
    <row r="16" spans="1:22" ht="19.5" customHeight="1" thickBot="1" x14ac:dyDescent="0.25">
      <c r="A16" s="9"/>
      <c r="B16" s="159" t="s">
        <v>162</v>
      </c>
      <c r="C16" s="160">
        <f>H47</f>
        <v>7.1</v>
      </c>
      <c r="D16" s="161">
        <f>E47</f>
        <v>2.5499999999999998</v>
      </c>
      <c r="E16" s="162">
        <f>E88</f>
        <v>3.07</v>
      </c>
      <c r="F16" s="90"/>
      <c r="G16" s="119"/>
      <c r="H16" s="119"/>
      <c r="I16" s="119"/>
      <c r="J16" s="9"/>
      <c r="K16" s="9"/>
      <c r="L16" s="9"/>
      <c r="M16" s="9"/>
      <c r="N16" s="9"/>
      <c r="O16" s="149"/>
      <c r="P16" s="99" t="s">
        <v>109</v>
      </c>
      <c r="Q16" s="163">
        <f>SUM(M81:M83)</f>
        <v>25.330798479087456</v>
      </c>
      <c r="R16" s="99" t="s">
        <v>113</v>
      </c>
      <c r="S16" s="151" t="s">
        <v>111</v>
      </c>
      <c r="T16" s="112"/>
      <c r="U16" s="113"/>
      <c r="V16" s="9"/>
    </row>
    <row r="17" spans="1:22" ht="15" thickBot="1" x14ac:dyDescent="0.25">
      <c r="A17" s="9"/>
      <c r="B17" s="9"/>
      <c r="C17" s="164"/>
      <c r="D17" s="164"/>
      <c r="E17" s="90"/>
      <c r="F17" s="90"/>
      <c r="G17" s="119"/>
      <c r="H17" s="119"/>
      <c r="I17" s="119"/>
      <c r="J17" s="9"/>
      <c r="K17" s="9"/>
      <c r="L17" s="9"/>
      <c r="M17" s="9"/>
      <c r="N17" s="9"/>
      <c r="O17" s="21"/>
      <c r="P17" s="114"/>
      <c r="Q17" s="154"/>
      <c r="R17" s="114"/>
      <c r="S17" s="148" t="s">
        <v>112</v>
      </c>
      <c r="T17" s="114"/>
      <c r="U17" s="117"/>
      <c r="V17" s="9"/>
    </row>
    <row r="18" spans="1:22" ht="15.75" thickBot="1" x14ac:dyDescent="0.25">
      <c r="A18" s="9"/>
      <c r="B18" s="165" t="s">
        <v>163</v>
      </c>
      <c r="C18" s="128">
        <v>2.6</v>
      </c>
      <c r="D18" s="166">
        <v>2.65</v>
      </c>
      <c r="E18" s="167">
        <v>2.65</v>
      </c>
      <c r="F18" s="90"/>
      <c r="G18" s="119"/>
      <c r="H18" s="119"/>
      <c r="I18" s="119"/>
      <c r="J18" s="9"/>
      <c r="K18" s="9"/>
      <c r="L18" s="9"/>
      <c r="M18" s="9"/>
      <c r="N18" s="9"/>
      <c r="O18" s="152" t="s">
        <v>167</v>
      </c>
      <c r="P18" s="138"/>
      <c r="Q18" s="138"/>
      <c r="R18" s="138"/>
      <c r="S18" s="138"/>
      <c r="T18" s="138"/>
      <c r="U18" s="138"/>
      <c r="V18" s="9"/>
    </row>
    <row r="19" spans="1:22" ht="14.25" x14ac:dyDescent="0.2">
      <c r="A19" s="9"/>
      <c r="B19" s="9"/>
      <c r="C19" s="164"/>
      <c r="D19" s="168" t="s">
        <v>4</v>
      </c>
      <c r="E19" s="168" t="s">
        <v>168</v>
      </c>
      <c r="F19" s="168" t="s">
        <v>24</v>
      </c>
      <c r="G19" s="119"/>
      <c r="H19" s="119"/>
      <c r="I19" s="119"/>
      <c r="J19" s="9"/>
      <c r="K19" s="9"/>
      <c r="L19" s="9"/>
      <c r="M19" s="9"/>
      <c r="N19" s="9"/>
      <c r="O19" s="149"/>
      <c r="P19" s="141" t="s">
        <v>110</v>
      </c>
      <c r="Q19" s="155">
        <f>SUM(M103:M106)</f>
        <v>27.708753568030453</v>
      </c>
      <c r="R19" s="141" t="s">
        <v>114</v>
      </c>
      <c r="S19" s="143" t="s">
        <v>115</v>
      </c>
      <c r="T19" s="111"/>
      <c r="U19" s="115"/>
      <c r="V19" s="9"/>
    </row>
    <row r="20" spans="1:22" ht="14.25" x14ac:dyDescent="0.2">
      <c r="A20" s="9"/>
      <c r="B20" s="169" t="s">
        <v>164</v>
      </c>
      <c r="C20" s="170">
        <v>0.4</v>
      </c>
      <c r="D20" s="168">
        <v>1000</v>
      </c>
      <c r="E20" s="171">
        <f>F20-D20</f>
        <v>1500</v>
      </c>
      <c r="F20" s="171">
        <f>D20/C20</f>
        <v>2500</v>
      </c>
      <c r="G20" s="119"/>
      <c r="H20" s="119"/>
      <c r="I20" s="119"/>
      <c r="J20" s="9"/>
      <c r="K20" s="9"/>
      <c r="L20" s="9"/>
      <c r="M20" s="9"/>
      <c r="N20" s="9"/>
      <c r="O20" s="145"/>
      <c r="P20" s="146"/>
      <c r="Q20" s="153"/>
      <c r="R20" s="114"/>
      <c r="S20" s="148" t="s">
        <v>116</v>
      </c>
      <c r="T20" s="114"/>
      <c r="U20" s="117"/>
      <c r="V20" s="9"/>
    </row>
    <row r="21" spans="1:22" ht="14.25" x14ac:dyDescent="0.2">
      <c r="A21" s="9"/>
      <c r="B21" s="172" t="s">
        <v>165</v>
      </c>
      <c r="C21" s="173">
        <v>0.45</v>
      </c>
      <c r="D21" s="168">
        <v>1000</v>
      </c>
      <c r="E21" s="171">
        <f>F21-D21</f>
        <v>1222.2222222222222</v>
      </c>
      <c r="F21" s="171">
        <f>D21/C21</f>
        <v>2222.2222222222222</v>
      </c>
      <c r="G21" s="119"/>
      <c r="H21" s="119"/>
      <c r="I21" s="119"/>
      <c r="J21" s="9"/>
      <c r="K21" s="9"/>
      <c r="L21" s="9"/>
      <c r="M21" s="9"/>
      <c r="N21" s="9"/>
      <c r="O21" s="149"/>
      <c r="P21" s="99" t="s">
        <v>109</v>
      </c>
      <c r="Q21" s="163">
        <f>SUM(M101:M103)</f>
        <v>28.272121788772605</v>
      </c>
      <c r="R21" s="99" t="s">
        <v>113</v>
      </c>
      <c r="S21" s="151" t="s">
        <v>111</v>
      </c>
      <c r="T21" s="112"/>
      <c r="U21" s="113"/>
      <c r="V21" s="9"/>
    </row>
    <row r="22" spans="1:22" ht="14.25" x14ac:dyDescent="0.2">
      <c r="A22" s="9"/>
      <c r="B22" s="174" t="s">
        <v>166</v>
      </c>
      <c r="C22" s="175">
        <v>0.4</v>
      </c>
      <c r="D22" s="168">
        <v>1000</v>
      </c>
      <c r="E22" s="171">
        <f>F22-D22</f>
        <v>1500</v>
      </c>
      <c r="F22" s="171">
        <f>D22/C22</f>
        <v>2500</v>
      </c>
      <c r="G22" s="119"/>
      <c r="H22" s="119"/>
      <c r="I22" s="119"/>
      <c r="J22" s="9"/>
      <c r="K22" s="9"/>
      <c r="L22" s="9"/>
      <c r="M22" s="9"/>
      <c r="N22" s="9"/>
      <c r="O22" s="21"/>
      <c r="P22" s="114"/>
      <c r="Q22" s="114"/>
      <c r="R22" s="114"/>
      <c r="S22" s="148" t="s">
        <v>112</v>
      </c>
      <c r="T22" s="114"/>
      <c r="U22" s="117"/>
      <c r="V22" s="9"/>
    </row>
    <row r="23" spans="1:22" x14ac:dyDescent="0.2">
      <c r="A23" s="9"/>
      <c r="B23" s="172" t="s">
        <v>167</v>
      </c>
      <c r="C23" s="173">
        <v>0.45</v>
      </c>
      <c r="D23" s="168">
        <v>1000</v>
      </c>
      <c r="E23" s="171">
        <f>F23-D23</f>
        <v>1222.2222222222222</v>
      </c>
      <c r="F23" s="171">
        <f>D23/C23</f>
        <v>2222.2222222222222</v>
      </c>
      <c r="G23" s="119"/>
      <c r="H23" s="119"/>
      <c r="I23" s="11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x14ac:dyDescent="0.2">
      <c r="A24" s="9"/>
      <c r="B24" s="9"/>
      <c r="C24" s="164"/>
      <c r="D24" s="164"/>
      <c r="E24" s="90"/>
      <c r="F24" s="90"/>
      <c r="G24" s="119"/>
      <c r="H24" s="119"/>
      <c r="I24" s="11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x14ac:dyDescent="0.2">
      <c r="A25" s="9"/>
      <c r="B25" s="176"/>
      <c r="C25" s="177"/>
      <c r="D25" s="164"/>
      <c r="E25" s="90"/>
      <c r="F25" s="90"/>
      <c r="G25" s="119"/>
      <c r="H25" s="119"/>
      <c r="I25" s="11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12.75" customHeight="1" x14ac:dyDescent="0.2">
      <c r="A26" s="9"/>
      <c r="B26" s="9"/>
      <c r="C26" s="178"/>
      <c r="D26" s="178"/>
      <c r="E26" s="119"/>
      <c r="F26" s="119"/>
      <c r="G26" s="119"/>
      <c r="H26" s="119"/>
      <c r="I26" s="11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12" customHeight="1" x14ac:dyDescent="0.2">
      <c r="A27" s="9"/>
      <c r="B27" s="9"/>
      <c r="C27" s="119"/>
      <c r="D27" s="119"/>
      <c r="E27" s="119"/>
      <c r="F27" s="119"/>
      <c r="G27" s="119"/>
      <c r="H27" s="119"/>
      <c r="I27" s="11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16.5" customHeight="1" x14ac:dyDescent="0.2">
      <c r="A28" s="9"/>
      <c r="B28" s="179"/>
      <c r="C28" s="180"/>
      <c r="D28" s="180"/>
      <c r="E28" s="180"/>
      <c r="F28" s="180"/>
      <c r="G28" s="180"/>
      <c r="H28" s="180"/>
      <c r="I28" s="180"/>
      <c r="J28" s="181"/>
      <c r="K28" s="181"/>
      <c r="L28" s="181"/>
      <c r="M28" s="181"/>
      <c r="N28" s="181"/>
      <c r="O28" s="9"/>
      <c r="P28" s="9"/>
      <c r="Q28" s="9"/>
      <c r="R28" s="9"/>
      <c r="S28" s="9"/>
      <c r="T28" s="9"/>
      <c r="U28" s="9"/>
      <c r="V28" s="9"/>
    </row>
    <row r="29" spans="1:22" ht="21.75" customHeight="1" x14ac:dyDescent="0.2">
      <c r="A29" s="9"/>
      <c r="B29" s="69" t="s">
        <v>97</v>
      </c>
      <c r="C29" s="489" t="s">
        <v>160</v>
      </c>
      <c r="D29" s="490"/>
      <c r="E29" s="491"/>
      <c r="F29" s="489" t="s">
        <v>172</v>
      </c>
      <c r="G29" s="490"/>
      <c r="H29" s="491"/>
      <c r="I29" s="492" t="s">
        <v>145</v>
      </c>
      <c r="J29" s="493"/>
      <c r="K29" s="494"/>
      <c r="L29" s="498" t="s">
        <v>146</v>
      </c>
      <c r="M29" s="493"/>
      <c r="N29" s="499"/>
      <c r="O29" s="9"/>
      <c r="P29" s="9"/>
      <c r="Q29" s="9"/>
      <c r="R29" s="9"/>
      <c r="S29" s="9"/>
      <c r="T29" s="9"/>
      <c r="U29" s="9"/>
      <c r="V29" s="9"/>
    </row>
    <row r="30" spans="1:22" ht="15" customHeight="1" x14ac:dyDescent="0.2">
      <c r="A30" s="9"/>
      <c r="B30" s="70" t="s">
        <v>103</v>
      </c>
      <c r="C30" s="502">
        <f>C20</f>
        <v>0.4</v>
      </c>
      <c r="D30" s="503"/>
      <c r="E30" s="504"/>
      <c r="F30" s="502">
        <f>1-C20</f>
        <v>0.6</v>
      </c>
      <c r="G30" s="503"/>
      <c r="H30" s="504"/>
      <c r="I30" s="492"/>
      <c r="J30" s="493"/>
      <c r="K30" s="494"/>
      <c r="L30" s="498"/>
      <c r="M30" s="493"/>
      <c r="N30" s="499"/>
      <c r="O30" s="9"/>
      <c r="P30" s="9"/>
      <c r="Q30" s="9"/>
      <c r="R30" s="9"/>
      <c r="S30" s="9"/>
      <c r="T30" s="9"/>
      <c r="U30" s="9"/>
      <c r="V30" s="9"/>
    </row>
    <row r="31" spans="1:22" ht="15" customHeight="1" x14ac:dyDescent="0.2">
      <c r="A31" s="9"/>
      <c r="B31" s="71" t="s">
        <v>104</v>
      </c>
      <c r="C31" s="505">
        <f>(D20/D18/62.4/100)/((D20/D18/62.4/100)+(E20/C18/62.4/100))</f>
        <v>0.3954372623574145</v>
      </c>
      <c r="D31" s="506"/>
      <c r="E31" s="507"/>
      <c r="F31" s="505">
        <f>(E20/C18/62.4/100)/((D20/D18/62.4/100)+(E20/C18/62.4/100))</f>
        <v>0.60456273764258561</v>
      </c>
      <c r="G31" s="506"/>
      <c r="H31" s="507"/>
      <c r="I31" s="495"/>
      <c r="J31" s="496"/>
      <c r="K31" s="497"/>
      <c r="L31" s="500"/>
      <c r="M31" s="496"/>
      <c r="N31" s="501"/>
      <c r="O31" s="456" t="s">
        <v>117</v>
      </c>
      <c r="P31" s="508"/>
      <c r="Q31" s="9"/>
      <c r="R31" s="9"/>
      <c r="S31" s="9"/>
      <c r="T31" s="9"/>
      <c r="U31" s="9"/>
      <c r="V31" s="9"/>
    </row>
    <row r="32" spans="1:22" ht="31.5" customHeight="1" x14ac:dyDescent="0.25">
      <c r="A32" s="9"/>
      <c r="B32" s="72" t="s">
        <v>100</v>
      </c>
      <c r="C32" s="73" t="s">
        <v>101</v>
      </c>
      <c r="D32" s="74" t="s">
        <v>102</v>
      </c>
      <c r="E32" s="74" t="s">
        <v>106</v>
      </c>
      <c r="F32" s="73" t="s">
        <v>101</v>
      </c>
      <c r="G32" s="74" t="s">
        <v>102</v>
      </c>
      <c r="H32" s="74" t="s">
        <v>106</v>
      </c>
      <c r="I32" s="75" t="s">
        <v>101</v>
      </c>
      <c r="J32" s="74" t="s">
        <v>102</v>
      </c>
      <c r="K32" s="74" t="s">
        <v>106</v>
      </c>
      <c r="L32" s="76" t="s">
        <v>101</v>
      </c>
      <c r="M32" s="74" t="s">
        <v>102</v>
      </c>
      <c r="N32" s="77" t="s">
        <v>106</v>
      </c>
      <c r="O32" s="78" t="s">
        <v>107</v>
      </c>
      <c r="P32" s="79" t="s">
        <v>108</v>
      </c>
      <c r="Q32" s="9"/>
      <c r="R32" s="9"/>
      <c r="S32" s="9"/>
      <c r="T32" s="9"/>
      <c r="U32" s="9"/>
      <c r="V32" s="9"/>
    </row>
    <row r="33" spans="1:22" ht="15" customHeight="1" x14ac:dyDescent="0.2">
      <c r="A33" s="9"/>
      <c r="B33" s="80" t="s">
        <v>149</v>
      </c>
      <c r="C33" s="81">
        <f t="shared" ref="C33:C45" si="0">D3</f>
        <v>100</v>
      </c>
      <c r="D33" s="82">
        <f>100-C33</f>
        <v>0</v>
      </c>
      <c r="E33" s="82"/>
      <c r="F33" s="83">
        <f t="shared" ref="F33:F45" si="1">C3</f>
        <v>100</v>
      </c>
      <c r="G33" s="82">
        <f>100-F33</f>
        <v>0</v>
      </c>
      <c r="H33" s="82"/>
      <c r="I33" s="84">
        <f>C$30*C33+F$30*F33</f>
        <v>100</v>
      </c>
      <c r="J33" s="82">
        <f>C$30*D33+F$30*G33</f>
        <v>0</v>
      </c>
      <c r="K33" s="85">
        <f>J33</f>
        <v>0</v>
      </c>
      <c r="L33" s="86">
        <f>C$31*C33+F$31*F33</f>
        <v>100.00000000000001</v>
      </c>
      <c r="M33" s="82">
        <f>C$31*D33+F$31*G33</f>
        <v>0</v>
      </c>
      <c r="N33" s="87">
        <f>M33</f>
        <v>0</v>
      </c>
      <c r="O33" s="9"/>
      <c r="P33" s="9"/>
      <c r="Q33" s="182"/>
      <c r="R33" s="9"/>
      <c r="S33" s="183"/>
      <c r="T33" s="9"/>
      <c r="U33" s="9"/>
      <c r="V33" s="9"/>
    </row>
    <row r="34" spans="1:22" ht="15" customHeight="1" x14ac:dyDescent="0.2">
      <c r="A34" s="9"/>
      <c r="B34" s="88" t="s">
        <v>159</v>
      </c>
      <c r="C34" s="81">
        <f t="shared" si="0"/>
        <v>100</v>
      </c>
      <c r="D34" s="82">
        <f t="shared" ref="D34:D45" si="2">C33-C34</f>
        <v>0</v>
      </c>
      <c r="E34" s="82">
        <f>SUM(D33:D34)</f>
        <v>0</v>
      </c>
      <c r="F34" s="83">
        <f t="shared" si="1"/>
        <v>100</v>
      </c>
      <c r="G34" s="82">
        <f>F33-F34</f>
        <v>0</v>
      </c>
      <c r="H34" s="82">
        <f>SUM(G33:G34)</f>
        <v>0</v>
      </c>
      <c r="I34" s="89">
        <f>C$30*C34+F$30*F34</f>
        <v>100</v>
      </c>
      <c r="J34" s="82">
        <f>C$30*D34+F$30*G34</f>
        <v>0</v>
      </c>
      <c r="K34" s="85">
        <f>SUM(J33:J34)</f>
        <v>0</v>
      </c>
      <c r="L34" s="86">
        <f>C$31*C34+F$31*F34</f>
        <v>100.00000000000001</v>
      </c>
      <c r="M34" s="82">
        <f>C$31*D34+F$31*G34</f>
        <v>0</v>
      </c>
      <c r="N34" s="87">
        <f>SUM(M33:M34)</f>
        <v>0</v>
      </c>
      <c r="O34" s="90">
        <v>0</v>
      </c>
      <c r="P34" s="90">
        <v>0</v>
      </c>
      <c r="Q34" s="182"/>
      <c r="R34" s="9"/>
      <c r="S34" s="183"/>
      <c r="T34" s="9"/>
      <c r="U34" s="9"/>
      <c r="V34" s="9"/>
    </row>
    <row r="35" spans="1:22" ht="15" customHeight="1" x14ac:dyDescent="0.2">
      <c r="A35" s="9"/>
      <c r="B35" s="80" t="s">
        <v>147</v>
      </c>
      <c r="C35" s="81">
        <f t="shared" si="0"/>
        <v>100</v>
      </c>
      <c r="D35" s="82">
        <f t="shared" si="2"/>
        <v>0</v>
      </c>
      <c r="E35" s="82"/>
      <c r="F35" s="83">
        <f t="shared" si="1"/>
        <v>100</v>
      </c>
      <c r="G35" s="82">
        <f>F34-F35</f>
        <v>0</v>
      </c>
      <c r="H35" s="82"/>
      <c r="I35" s="89">
        <f>C$30*C35+F$30*F35</f>
        <v>100</v>
      </c>
      <c r="J35" s="82">
        <f>C$30*D35+F$30*G35</f>
        <v>0</v>
      </c>
      <c r="K35" s="85">
        <f>SUM(J33:J35)</f>
        <v>0</v>
      </c>
      <c r="L35" s="86">
        <f>C$31*C35+F$31*F35</f>
        <v>100.00000000000001</v>
      </c>
      <c r="M35" s="82">
        <f>C$31*D35+F$31*G35</f>
        <v>0</v>
      </c>
      <c r="N35" s="87">
        <f>SUM(M33:M35)</f>
        <v>0</v>
      </c>
      <c r="O35" s="90">
        <v>0</v>
      </c>
      <c r="P35" s="90">
        <v>16</v>
      </c>
      <c r="Q35" s="9"/>
      <c r="R35" s="9"/>
      <c r="S35" s="9"/>
      <c r="T35" s="9"/>
      <c r="U35" s="9"/>
      <c r="V35" s="9"/>
    </row>
    <row r="36" spans="1:22" ht="15" customHeight="1" x14ac:dyDescent="0.2">
      <c r="A36" s="9"/>
      <c r="B36" s="88" t="s">
        <v>148</v>
      </c>
      <c r="C36" s="81">
        <f t="shared" si="0"/>
        <v>100</v>
      </c>
      <c r="D36" s="82">
        <f t="shared" si="2"/>
        <v>0</v>
      </c>
      <c r="E36" s="82">
        <f>SUM(D33:D36)</f>
        <v>0</v>
      </c>
      <c r="F36" s="83">
        <f t="shared" si="1"/>
        <v>74</v>
      </c>
      <c r="G36" s="82">
        <f>F35-F36</f>
        <v>26</v>
      </c>
      <c r="H36" s="82">
        <f>SUM(G33:G36)</f>
        <v>26</v>
      </c>
      <c r="I36" s="89">
        <f t="shared" ref="I36:I45" si="3">C$30*C36+F$30*F36</f>
        <v>84.4</v>
      </c>
      <c r="J36" s="82">
        <f t="shared" ref="J36:J45" si="4">C$30*D36+F$30*G36</f>
        <v>15.6</v>
      </c>
      <c r="K36" s="85">
        <f>SUM(J33:J36)</f>
        <v>15.6</v>
      </c>
      <c r="L36" s="86">
        <f t="shared" ref="L36:L45" si="5">C$31*C36+F$31*F36</f>
        <v>84.281368821292787</v>
      </c>
      <c r="M36" s="82">
        <f t="shared" ref="M36:M45" si="6">C$31*D36+F$31*G36</f>
        <v>15.718631178707225</v>
      </c>
      <c r="N36" s="125">
        <f>SUM(M33:M36)</f>
        <v>15.718631178707225</v>
      </c>
      <c r="O36" s="90">
        <v>0</v>
      </c>
      <c r="P36" s="90">
        <v>20</v>
      </c>
      <c r="Q36" s="9"/>
      <c r="R36" s="9"/>
      <c r="S36" s="9"/>
      <c r="T36" s="9"/>
      <c r="U36" s="9"/>
      <c r="V36" s="9"/>
    </row>
    <row r="37" spans="1:22" ht="15" customHeight="1" x14ac:dyDescent="0.2">
      <c r="A37" s="9"/>
      <c r="B37" s="80" t="s">
        <v>150</v>
      </c>
      <c r="C37" s="81">
        <f t="shared" si="0"/>
        <v>100</v>
      </c>
      <c r="D37" s="82">
        <f t="shared" si="2"/>
        <v>0</v>
      </c>
      <c r="E37" s="82"/>
      <c r="F37" s="83">
        <f t="shared" si="1"/>
        <v>28</v>
      </c>
      <c r="G37" s="82">
        <f t="shared" ref="G37:G44" si="7">F36-F37</f>
        <v>46</v>
      </c>
      <c r="H37" s="82"/>
      <c r="I37" s="89">
        <f t="shared" si="3"/>
        <v>56.8</v>
      </c>
      <c r="J37" s="82">
        <f t="shared" si="4"/>
        <v>27.599999999999998</v>
      </c>
      <c r="K37" s="85">
        <f>SUM(J33:J37)</f>
        <v>43.199999999999996</v>
      </c>
      <c r="L37" s="86">
        <f t="shared" si="5"/>
        <v>56.471482889733849</v>
      </c>
      <c r="M37" s="82">
        <f t="shared" si="6"/>
        <v>27.809885931558938</v>
      </c>
      <c r="N37" s="125">
        <f>SUM(M33:M37)</f>
        <v>43.528517110266165</v>
      </c>
      <c r="O37" s="90">
        <v>4</v>
      </c>
      <c r="P37" s="90">
        <v>20</v>
      </c>
      <c r="Q37" s="9"/>
      <c r="R37" s="9"/>
      <c r="S37" s="9"/>
      <c r="T37" s="9"/>
      <c r="U37" s="9"/>
      <c r="V37" s="9"/>
    </row>
    <row r="38" spans="1:22" ht="15" customHeight="1" x14ac:dyDescent="0.2">
      <c r="A38" s="9"/>
      <c r="B38" s="88" t="s">
        <v>151</v>
      </c>
      <c r="C38" s="81">
        <f t="shared" si="0"/>
        <v>100</v>
      </c>
      <c r="D38" s="82">
        <f t="shared" si="2"/>
        <v>0</v>
      </c>
      <c r="E38" s="82">
        <f>SUM(D33:D38)</f>
        <v>0</v>
      </c>
      <c r="F38" s="83">
        <f t="shared" si="1"/>
        <v>13</v>
      </c>
      <c r="G38" s="82">
        <f t="shared" si="7"/>
        <v>15</v>
      </c>
      <c r="H38" s="82">
        <f>SUM(G33:G38)</f>
        <v>87</v>
      </c>
      <c r="I38" s="89">
        <f t="shared" si="3"/>
        <v>47.8</v>
      </c>
      <c r="J38" s="82">
        <f t="shared" si="4"/>
        <v>9</v>
      </c>
      <c r="K38" s="85">
        <f>SUM(J33:J38)</f>
        <v>52.199999999999996</v>
      </c>
      <c r="L38" s="86">
        <f t="shared" si="5"/>
        <v>47.403041825095066</v>
      </c>
      <c r="M38" s="82">
        <f t="shared" si="6"/>
        <v>9.068441064638785</v>
      </c>
      <c r="N38" s="125">
        <f>SUM(M33:M38)</f>
        <v>52.596958174904948</v>
      </c>
      <c r="O38" s="90">
        <v>4</v>
      </c>
      <c r="P38" s="90">
        <v>20</v>
      </c>
      <c r="Q38" s="9"/>
      <c r="R38" s="119"/>
      <c r="S38" s="119"/>
      <c r="T38" s="9"/>
      <c r="U38" s="9"/>
      <c r="V38" s="9"/>
    </row>
    <row r="39" spans="1:22" ht="15" customHeight="1" x14ac:dyDescent="0.2">
      <c r="A39" s="9"/>
      <c r="B39" s="88" t="s">
        <v>152</v>
      </c>
      <c r="C39" s="81">
        <f t="shared" si="0"/>
        <v>100</v>
      </c>
      <c r="D39" s="82">
        <f t="shared" si="2"/>
        <v>0</v>
      </c>
      <c r="E39" s="82">
        <f>D39</f>
        <v>0</v>
      </c>
      <c r="F39" s="83">
        <f t="shared" si="1"/>
        <v>2</v>
      </c>
      <c r="G39" s="82">
        <f>F38-F39</f>
        <v>11</v>
      </c>
      <c r="H39" s="82">
        <f>SUM(G33:G39)</f>
        <v>98</v>
      </c>
      <c r="I39" s="89">
        <f t="shared" si="3"/>
        <v>41.2</v>
      </c>
      <c r="J39" s="82">
        <f t="shared" si="4"/>
        <v>6.6</v>
      </c>
      <c r="K39" s="85">
        <f>SUM(J33:J39)</f>
        <v>58.8</v>
      </c>
      <c r="L39" s="86">
        <f t="shared" si="5"/>
        <v>40.752851711026622</v>
      </c>
      <c r="M39" s="82">
        <f t="shared" si="6"/>
        <v>6.6501901140684421</v>
      </c>
      <c r="N39" s="125">
        <f>SUM(M33:M39)</f>
        <v>59.247148288973392</v>
      </c>
      <c r="O39" s="90">
        <v>4</v>
      </c>
      <c r="P39" s="90">
        <v>20</v>
      </c>
      <c r="Q39" s="9"/>
      <c r="R39" s="119"/>
      <c r="S39" s="119"/>
      <c r="T39" s="9"/>
      <c r="U39" s="9"/>
      <c r="V39" s="9"/>
    </row>
    <row r="40" spans="1:22" ht="15" customHeight="1" x14ac:dyDescent="0.2">
      <c r="A40" s="9"/>
      <c r="B40" s="88" t="s">
        <v>153</v>
      </c>
      <c r="C40" s="81">
        <f t="shared" si="0"/>
        <v>93</v>
      </c>
      <c r="D40" s="82">
        <f>C39-C40</f>
        <v>7</v>
      </c>
      <c r="E40" s="82">
        <f>SUM(D39:D40)</f>
        <v>7</v>
      </c>
      <c r="F40" s="83">
        <f t="shared" si="1"/>
        <v>1</v>
      </c>
      <c r="G40" s="82">
        <f t="shared" si="7"/>
        <v>1</v>
      </c>
      <c r="H40" s="82">
        <f>SUM(G33:G40)</f>
        <v>99</v>
      </c>
      <c r="I40" s="89">
        <f t="shared" si="3"/>
        <v>37.800000000000004</v>
      </c>
      <c r="J40" s="82">
        <f t="shared" si="4"/>
        <v>3.4000000000000004</v>
      </c>
      <c r="K40" s="85">
        <f>SUM(J33:J40)</f>
        <v>62.199999999999996</v>
      </c>
      <c r="L40" s="86">
        <f t="shared" si="5"/>
        <v>37.380228136882138</v>
      </c>
      <c r="M40" s="82">
        <f t="shared" si="6"/>
        <v>3.3726235741444874</v>
      </c>
      <c r="N40" s="125">
        <f>SUM(M33:M40)</f>
        <v>62.619771863117876</v>
      </c>
      <c r="O40" s="90">
        <v>0</v>
      </c>
      <c r="P40" s="90">
        <v>12</v>
      </c>
      <c r="Q40" s="9"/>
      <c r="R40" s="119"/>
      <c r="S40" s="119"/>
      <c r="T40" s="9"/>
      <c r="U40" s="9"/>
      <c r="V40" s="9"/>
    </row>
    <row r="41" spans="1:22" ht="15" customHeight="1" x14ac:dyDescent="0.2">
      <c r="A41" s="9"/>
      <c r="B41" s="88" t="s">
        <v>154</v>
      </c>
      <c r="C41" s="81">
        <f t="shared" si="0"/>
        <v>75</v>
      </c>
      <c r="D41" s="82">
        <f t="shared" si="2"/>
        <v>18</v>
      </c>
      <c r="E41" s="82">
        <f>SUM(D39:D41)</f>
        <v>25</v>
      </c>
      <c r="F41" s="83">
        <f t="shared" si="1"/>
        <v>0</v>
      </c>
      <c r="G41" s="82">
        <f t="shared" si="7"/>
        <v>1</v>
      </c>
      <c r="H41" s="82">
        <f>SUM(G33:G41)</f>
        <v>100</v>
      </c>
      <c r="I41" s="89">
        <f t="shared" si="3"/>
        <v>30</v>
      </c>
      <c r="J41" s="82">
        <f t="shared" si="4"/>
        <v>7.8</v>
      </c>
      <c r="K41" s="85">
        <f>SUM(J33:J41)</f>
        <v>70</v>
      </c>
      <c r="L41" s="86">
        <f t="shared" si="5"/>
        <v>29.657794676806088</v>
      </c>
      <c r="M41" s="82">
        <f t="shared" si="6"/>
        <v>7.7224334600760463</v>
      </c>
      <c r="N41" s="125">
        <f>SUM(M33:M41)</f>
        <v>70.342205323193923</v>
      </c>
      <c r="O41" s="90">
        <v>0</v>
      </c>
      <c r="P41" s="90">
        <v>12</v>
      </c>
      <c r="Q41" s="9"/>
      <c r="R41" s="119"/>
      <c r="S41" s="119"/>
      <c r="T41" s="9"/>
      <c r="U41" s="9"/>
      <c r="V41" s="9"/>
    </row>
    <row r="42" spans="1:22" ht="15" customHeight="1" x14ac:dyDescent="0.2">
      <c r="A42" s="9"/>
      <c r="B42" s="88" t="s">
        <v>155</v>
      </c>
      <c r="C42" s="81">
        <f t="shared" si="0"/>
        <v>52</v>
      </c>
      <c r="D42" s="82">
        <f t="shared" si="2"/>
        <v>23</v>
      </c>
      <c r="E42" s="82">
        <f>SUM(D39:D42)</f>
        <v>48</v>
      </c>
      <c r="F42" s="83">
        <f t="shared" si="1"/>
        <v>0</v>
      </c>
      <c r="G42" s="82">
        <f t="shared" si="7"/>
        <v>0</v>
      </c>
      <c r="H42" s="82">
        <f>SUM(G33:G42)</f>
        <v>100</v>
      </c>
      <c r="I42" s="89">
        <f t="shared" si="3"/>
        <v>20.8</v>
      </c>
      <c r="J42" s="82">
        <f t="shared" si="4"/>
        <v>9.2000000000000011</v>
      </c>
      <c r="K42" s="85">
        <f>SUM(J33:J42)</f>
        <v>79.2</v>
      </c>
      <c r="L42" s="86">
        <f t="shared" si="5"/>
        <v>20.562737642585553</v>
      </c>
      <c r="M42" s="82">
        <f t="shared" si="6"/>
        <v>9.0950570342205328</v>
      </c>
      <c r="N42" s="125">
        <f>SUM(M33:M42)</f>
        <v>79.437262357414454</v>
      </c>
      <c r="O42" s="90">
        <v>4</v>
      </c>
      <c r="P42" s="90">
        <v>20</v>
      </c>
      <c r="Q42" s="9"/>
      <c r="R42" s="119"/>
      <c r="S42" s="119"/>
      <c r="T42" s="9"/>
      <c r="U42" s="9"/>
      <c r="V42" s="9"/>
    </row>
    <row r="43" spans="1:22" ht="15" customHeight="1" x14ac:dyDescent="0.2">
      <c r="A43" s="9"/>
      <c r="B43" s="88" t="s">
        <v>156</v>
      </c>
      <c r="C43" s="81">
        <f t="shared" si="0"/>
        <v>21</v>
      </c>
      <c r="D43" s="82">
        <f t="shared" si="2"/>
        <v>31</v>
      </c>
      <c r="E43" s="82">
        <f>SUM(D39:D43)</f>
        <v>79</v>
      </c>
      <c r="F43" s="83">
        <f t="shared" si="1"/>
        <v>0</v>
      </c>
      <c r="G43" s="82">
        <f t="shared" si="7"/>
        <v>0</v>
      </c>
      <c r="H43" s="82">
        <f>SUM(G33:G43)</f>
        <v>100</v>
      </c>
      <c r="I43" s="89">
        <f t="shared" si="3"/>
        <v>8.4</v>
      </c>
      <c r="J43" s="82">
        <f t="shared" si="4"/>
        <v>12.4</v>
      </c>
      <c r="K43" s="85">
        <f>SUM(J33:J43)</f>
        <v>91.600000000000009</v>
      </c>
      <c r="L43" s="86">
        <f t="shared" si="5"/>
        <v>8.3041825095057042</v>
      </c>
      <c r="M43" s="82">
        <f t="shared" si="6"/>
        <v>12.258555133079849</v>
      </c>
      <c r="N43" s="87">
        <f>SUM(M33:M43)</f>
        <v>91.695817490494306</v>
      </c>
      <c r="O43" s="90">
        <v>4</v>
      </c>
      <c r="P43" s="90">
        <v>20</v>
      </c>
      <c r="Q43" s="9"/>
      <c r="R43" s="119"/>
      <c r="S43" s="119"/>
      <c r="T43" s="9"/>
      <c r="U43" s="9"/>
      <c r="V43" s="9"/>
    </row>
    <row r="44" spans="1:22" ht="15" customHeight="1" x14ac:dyDescent="0.2">
      <c r="A44" s="9"/>
      <c r="B44" s="88" t="s">
        <v>157</v>
      </c>
      <c r="C44" s="81">
        <f t="shared" si="0"/>
        <v>4</v>
      </c>
      <c r="D44" s="82">
        <f t="shared" si="2"/>
        <v>17</v>
      </c>
      <c r="E44" s="82">
        <f>SUM(D39:D44)</f>
        <v>96</v>
      </c>
      <c r="F44" s="83">
        <f t="shared" si="1"/>
        <v>0</v>
      </c>
      <c r="G44" s="82">
        <f t="shared" si="7"/>
        <v>0</v>
      </c>
      <c r="H44" s="82">
        <f>SUM(G33:G44)</f>
        <v>100</v>
      </c>
      <c r="I44" s="89">
        <f t="shared" si="3"/>
        <v>1.6</v>
      </c>
      <c r="J44" s="82">
        <f t="shared" si="4"/>
        <v>6.8000000000000007</v>
      </c>
      <c r="K44" s="85">
        <f>SUM(J33:J44)</f>
        <v>98.4</v>
      </c>
      <c r="L44" s="86">
        <f t="shared" si="5"/>
        <v>1.581749049429658</v>
      </c>
      <c r="M44" s="82">
        <f t="shared" si="6"/>
        <v>6.7224334600760463</v>
      </c>
      <c r="N44" s="87">
        <f>SUM(M33:M44)</f>
        <v>98.418250950570354</v>
      </c>
      <c r="O44" s="90">
        <v>0</v>
      </c>
      <c r="P44" s="90">
        <v>10</v>
      </c>
      <c r="Q44" s="9"/>
      <c r="R44" s="9"/>
      <c r="S44" s="9"/>
      <c r="T44" s="9"/>
      <c r="U44" s="9"/>
      <c r="V44" s="9"/>
    </row>
    <row r="45" spans="1:22" ht="15" customHeight="1" x14ac:dyDescent="0.2">
      <c r="A45" s="9"/>
      <c r="B45" s="91" t="s">
        <v>158</v>
      </c>
      <c r="C45" s="92">
        <f t="shared" si="0"/>
        <v>1.7</v>
      </c>
      <c r="D45" s="93">
        <f t="shared" si="2"/>
        <v>2.2999999999999998</v>
      </c>
      <c r="E45" s="93"/>
      <c r="F45" s="83">
        <f t="shared" si="1"/>
        <v>0.3</v>
      </c>
      <c r="G45" s="93">
        <f>F44-F45</f>
        <v>-0.3</v>
      </c>
      <c r="H45" s="93"/>
      <c r="I45" s="95">
        <f t="shared" si="3"/>
        <v>0.8600000000000001</v>
      </c>
      <c r="J45" s="93">
        <f t="shared" si="4"/>
        <v>0.74</v>
      </c>
      <c r="K45" s="96">
        <f>SUM(J33:J45)</f>
        <v>99.14</v>
      </c>
      <c r="L45" s="97">
        <f t="shared" si="5"/>
        <v>0.85361216730038025</v>
      </c>
      <c r="M45" s="93">
        <f t="shared" si="6"/>
        <v>0.72813688212927763</v>
      </c>
      <c r="N45" s="98">
        <f>SUM(M33:M45)</f>
        <v>99.146387832699631</v>
      </c>
      <c r="O45" s="90">
        <v>0</v>
      </c>
      <c r="P45" s="90">
        <v>2</v>
      </c>
      <c r="Q45" s="9"/>
      <c r="R45" s="9"/>
      <c r="S45" s="9"/>
      <c r="T45" s="9"/>
      <c r="U45" s="9"/>
      <c r="V45" s="9"/>
    </row>
    <row r="46" spans="1:22" ht="15" customHeight="1" x14ac:dyDescent="0.2">
      <c r="A46" s="9"/>
      <c r="B46" s="9"/>
      <c r="C46" s="112"/>
      <c r="D46" s="112"/>
      <c r="E46" s="112"/>
      <c r="F46" s="110"/>
      <c r="G46" s="111"/>
      <c r="H46" s="115"/>
      <c r="I46" s="119"/>
      <c r="J46" s="9"/>
      <c r="K46" s="15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15" customHeight="1" x14ac:dyDescent="0.2">
      <c r="A47" s="9"/>
      <c r="B47" s="9"/>
      <c r="C47" s="119"/>
      <c r="D47" s="99" t="s">
        <v>105</v>
      </c>
      <c r="E47" s="100">
        <f>SUM(E34,E36,E38,E39,E40,E41,E42,E43,E44)/100</f>
        <v>2.5499999999999998</v>
      </c>
      <c r="F47" s="116"/>
      <c r="G47" s="99" t="s">
        <v>105</v>
      </c>
      <c r="H47" s="101">
        <f>SUM(H34,H36,H38,H39,H40,H41,H42,H43,H44)/100</f>
        <v>7.1</v>
      </c>
      <c r="I47" s="119"/>
      <c r="J47" s="99" t="s">
        <v>105</v>
      </c>
      <c r="K47" s="102">
        <f>SUM(K34,K36,K38,K39,K40,K41,K42,K43,K44)/100</f>
        <v>5.28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15" customHeight="1" x14ac:dyDescent="0.2">
      <c r="A48" s="9"/>
      <c r="B48" s="9"/>
      <c r="C48" s="112"/>
      <c r="D48" s="112"/>
      <c r="E48" s="112"/>
      <c r="F48" s="119"/>
      <c r="G48" s="119"/>
      <c r="H48" s="119"/>
      <c r="I48" s="11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15" customHeight="1" x14ac:dyDescent="0.2">
      <c r="A49" s="9"/>
      <c r="B49" s="9"/>
      <c r="C49" s="119"/>
      <c r="D49" s="119"/>
      <c r="E49" s="119"/>
      <c r="F49" s="119"/>
      <c r="G49" s="103"/>
      <c r="H49" s="103"/>
      <c r="I49" s="11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15" customHeight="1" x14ac:dyDescent="0.2">
      <c r="A50" s="9"/>
      <c r="B50" s="104" t="s">
        <v>97</v>
      </c>
      <c r="C50" s="509" t="s">
        <v>160</v>
      </c>
      <c r="D50" s="510"/>
      <c r="E50" s="511"/>
      <c r="F50" s="509" t="s">
        <v>172</v>
      </c>
      <c r="G50" s="510"/>
      <c r="H50" s="511"/>
      <c r="I50" s="512" t="s">
        <v>145</v>
      </c>
      <c r="J50" s="513"/>
      <c r="K50" s="514"/>
      <c r="L50" s="515" t="s">
        <v>146</v>
      </c>
      <c r="M50" s="513"/>
      <c r="N50" s="516"/>
      <c r="O50" s="9"/>
      <c r="P50" s="9"/>
      <c r="Q50" s="9"/>
      <c r="R50" s="9"/>
      <c r="S50" s="9"/>
      <c r="T50" s="9"/>
      <c r="U50" s="9"/>
      <c r="V50" s="9"/>
    </row>
    <row r="51" spans="1:22" ht="15" customHeight="1" x14ac:dyDescent="0.2">
      <c r="A51" s="9"/>
      <c r="B51" s="70" t="s">
        <v>103</v>
      </c>
      <c r="C51" s="502">
        <f>C21</f>
        <v>0.45</v>
      </c>
      <c r="D51" s="503"/>
      <c r="E51" s="504"/>
      <c r="F51" s="502">
        <f>1-C21</f>
        <v>0.55000000000000004</v>
      </c>
      <c r="G51" s="503"/>
      <c r="H51" s="504"/>
      <c r="I51" s="493"/>
      <c r="J51" s="493"/>
      <c r="K51" s="494"/>
      <c r="L51" s="498"/>
      <c r="M51" s="493"/>
      <c r="N51" s="499"/>
      <c r="O51" s="9"/>
      <c r="P51" s="9"/>
      <c r="Q51" s="9"/>
      <c r="R51" s="9"/>
      <c r="S51" s="9"/>
      <c r="T51" s="9"/>
      <c r="U51" s="9"/>
      <c r="V51" s="9"/>
    </row>
    <row r="52" spans="1:22" ht="15" customHeight="1" x14ac:dyDescent="0.2">
      <c r="A52" s="9"/>
      <c r="B52" s="71" t="s">
        <v>104</v>
      </c>
      <c r="C52" s="505">
        <f>(D21/D18/62.4/100)/((D21/D18/62.4/100)+(E21/C18/62.4/100))</f>
        <v>0.44529019980970513</v>
      </c>
      <c r="D52" s="506"/>
      <c r="E52" s="507"/>
      <c r="F52" s="505">
        <f>(E21/C18/62.4/100)/((D21/D18/62.4/100)+(E21/C18/62.4/100))</f>
        <v>0.55470980019029492</v>
      </c>
      <c r="G52" s="506"/>
      <c r="H52" s="507"/>
      <c r="I52" s="496"/>
      <c r="J52" s="496"/>
      <c r="K52" s="497"/>
      <c r="L52" s="500"/>
      <c r="M52" s="496"/>
      <c r="N52" s="501"/>
      <c r="O52" s="456" t="s">
        <v>117</v>
      </c>
      <c r="P52" s="508"/>
      <c r="Q52" s="9"/>
      <c r="R52" s="9"/>
      <c r="S52" s="9"/>
      <c r="T52" s="9"/>
      <c r="U52" s="9"/>
      <c r="V52" s="9"/>
    </row>
    <row r="53" spans="1:22" ht="33" customHeight="1" x14ac:dyDescent="0.25">
      <c r="A53" s="9"/>
      <c r="B53" s="72" t="s">
        <v>100</v>
      </c>
      <c r="C53" s="73" t="s">
        <v>101</v>
      </c>
      <c r="D53" s="74" t="s">
        <v>102</v>
      </c>
      <c r="E53" s="74" t="s">
        <v>106</v>
      </c>
      <c r="F53" s="73" t="s">
        <v>101</v>
      </c>
      <c r="G53" s="74" t="s">
        <v>102</v>
      </c>
      <c r="H53" s="74" t="s">
        <v>106</v>
      </c>
      <c r="I53" s="75" t="s">
        <v>101</v>
      </c>
      <c r="J53" s="74" t="s">
        <v>102</v>
      </c>
      <c r="K53" s="74" t="s">
        <v>106</v>
      </c>
      <c r="L53" s="76" t="s">
        <v>101</v>
      </c>
      <c r="M53" s="74" t="s">
        <v>102</v>
      </c>
      <c r="N53" s="77" t="s">
        <v>106</v>
      </c>
      <c r="O53" s="78" t="s">
        <v>107</v>
      </c>
      <c r="P53" s="79" t="s">
        <v>108</v>
      </c>
      <c r="Q53" s="9"/>
      <c r="R53" s="9"/>
      <c r="S53" s="9"/>
      <c r="T53" s="9"/>
      <c r="U53" s="9"/>
      <c r="V53" s="9"/>
    </row>
    <row r="54" spans="1:22" ht="15" customHeight="1" x14ac:dyDescent="0.2">
      <c r="A54" s="9"/>
      <c r="B54" s="80" t="s">
        <v>149</v>
      </c>
      <c r="C54" s="81">
        <f t="shared" ref="C54:C66" si="8">D3</f>
        <v>100</v>
      </c>
      <c r="D54" s="82">
        <f>100-C54</f>
        <v>0</v>
      </c>
      <c r="E54" s="82"/>
      <c r="F54" s="83">
        <f t="shared" ref="F54:F66" si="9">C3</f>
        <v>100</v>
      </c>
      <c r="G54" s="82">
        <f>100-F54</f>
        <v>0</v>
      </c>
      <c r="H54" s="82"/>
      <c r="I54" s="84">
        <f>C$51*C54+F$51*F54</f>
        <v>100</v>
      </c>
      <c r="J54" s="82">
        <f t="shared" ref="J54:J66" si="10">C$51*D54+F$51*G54</f>
        <v>0</v>
      </c>
      <c r="K54" s="85">
        <f>J54</f>
        <v>0</v>
      </c>
      <c r="L54" s="86">
        <f>C$52*C54+F$52*F54</f>
        <v>100</v>
      </c>
      <c r="M54" s="82">
        <f>C$52*D54+F$52*G54</f>
        <v>0</v>
      </c>
      <c r="N54" s="87">
        <f>M54</f>
        <v>0</v>
      </c>
      <c r="O54" s="9"/>
      <c r="P54" s="9"/>
      <c r="Q54" s="182"/>
      <c r="R54" s="9"/>
      <c r="S54" s="183"/>
      <c r="T54" s="9"/>
      <c r="U54" s="9"/>
      <c r="V54" s="9"/>
    </row>
    <row r="55" spans="1:22" ht="15" customHeight="1" x14ac:dyDescent="0.2">
      <c r="A55" s="9"/>
      <c r="B55" s="88" t="s">
        <v>159</v>
      </c>
      <c r="C55" s="81">
        <f t="shared" si="8"/>
        <v>100</v>
      </c>
      <c r="D55" s="82">
        <f t="shared" ref="D55:D60" si="11">C54-C55</f>
        <v>0</v>
      </c>
      <c r="E55" s="82">
        <f>SUM(D54:D55)</f>
        <v>0</v>
      </c>
      <c r="F55" s="83">
        <f t="shared" si="9"/>
        <v>100</v>
      </c>
      <c r="G55" s="82">
        <f>F54-F55</f>
        <v>0</v>
      </c>
      <c r="H55" s="82">
        <f>SUM(G54:G55)</f>
        <v>0</v>
      </c>
      <c r="I55" s="89">
        <f>C$51*C55+F$51*F55</f>
        <v>100</v>
      </c>
      <c r="J55" s="82">
        <f t="shared" si="10"/>
        <v>0</v>
      </c>
      <c r="K55" s="85">
        <f>SUM(J54:J55)</f>
        <v>0</v>
      </c>
      <c r="L55" s="86">
        <f>C$52*C55+F$52*F55</f>
        <v>100</v>
      </c>
      <c r="M55" s="82">
        <f>C$52*D55+F$52*G55</f>
        <v>0</v>
      </c>
      <c r="N55" s="87">
        <f>SUM(M54:M55)</f>
        <v>0</v>
      </c>
      <c r="O55" s="90">
        <v>0</v>
      </c>
      <c r="P55" s="90">
        <v>0</v>
      </c>
      <c r="Q55" s="182"/>
      <c r="R55" s="9"/>
      <c r="S55" s="183"/>
      <c r="T55" s="9"/>
      <c r="U55" s="9"/>
      <c r="V55" s="9"/>
    </row>
    <row r="56" spans="1:22" ht="15" customHeight="1" x14ac:dyDescent="0.2">
      <c r="A56" s="9"/>
      <c r="B56" s="80" t="s">
        <v>147</v>
      </c>
      <c r="C56" s="81">
        <f t="shared" si="8"/>
        <v>100</v>
      </c>
      <c r="D56" s="82">
        <f t="shared" si="11"/>
        <v>0</v>
      </c>
      <c r="E56" s="82"/>
      <c r="F56" s="83">
        <f t="shared" si="9"/>
        <v>100</v>
      </c>
      <c r="G56" s="82">
        <f>F55-F56</f>
        <v>0</v>
      </c>
      <c r="H56" s="82"/>
      <c r="I56" s="89">
        <f>C$51*C56+F$51*F56</f>
        <v>100</v>
      </c>
      <c r="J56" s="82">
        <f t="shared" si="10"/>
        <v>0</v>
      </c>
      <c r="K56" s="85">
        <f>SUM(J54:J56)</f>
        <v>0</v>
      </c>
      <c r="L56" s="86">
        <f>C$52*C56+F$52*F56</f>
        <v>100</v>
      </c>
      <c r="M56" s="82">
        <f>C$52*D56+F$52*G56</f>
        <v>0</v>
      </c>
      <c r="N56" s="87">
        <f>SUM(M54:M56)</f>
        <v>0</v>
      </c>
      <c r="O56" s="90">
        <v>0</v>
      </c>
      <c r="P56" s="90">
        <v>16</v>
      </c>
      <c r="Q56" s="184"/>
      <c r="R56" s="9"/>
      <c r="S56" s="185"/>
      <c r="T56" s="9"/>
      <c r="U56" s="9"/>
      <c r="V56" s="9"/>
    </row>
    <row r="57" spans="1:22" ht="15" customHeight="1" x14ac:dyDescent="0.2">
      <c r="A57" s="9"/>
      <c r="B57" s="88" t="s">
        <v>148</v>
      </c>
      <c r="C57" s="81">
        <f t="shared" si="8"/>
        <v>100</v>
      </c>
      <c r="D57" s="82">
        <f t="shared" si="11"/>
        <v>0</v>
      </c>
      <c r="E57" s="82">
        <f>SUM(D54:D57)</f>
        <v>0</v>
      </c>
      <c r="F57" s="83">
        <f t="shared" si="9"/>
        <v>74</v>
      </c>
      <c r="G57" s="82">
        <f>F56-F57</f>
        <v>26</v>
      </c>
      <c r="H57" s="82">
        <f>SUM(G54:G57)</f>
        <v>26</v>
      </c>
      <c r="I57" s="89">
        <f t="shared" ref="I57:I66" si="12">C$51*C57+F$51*F57</f>
        <v>85.7</v>
      </c>
      <c r="J57" s="82">
        <f t="shared" si="10"/>
        <v>14.3</v>
      </c>
      <c r="K57" s="85">
        <f>SUM(J54:J57)</f>
        <v>14.3</v>
      </c>
      <c r="L57" s="86">
        <f t="shared" ref="L57:L66" si="13">C$52*C57+F$52*F57</f>
        <v>85.577545195052338</v>
      </c>
      <c r="M57" s="82">
        <f t="shared" ref="M57:M66" si="14">C$52*D57+F$52*G57</f>
        <v>14.422454804947668</v>
      </c>
      <c r="N57" s="87">
        <f>SUM(M54:M57)</f>
        <v>14.422454804947668</v>
      </c>
      <c r="O57" s="90">
        <v>0</v>
      </c>
      <c r="P57" s="90">
        <v>20</v>
      </c>
      <c r="Q57" s="9"/>
      <c r="R57" s="9"/>
      <c r="S57" s="9"/>
      <c r="T57" s="9"/>
      <c r="U57" s="9"/>
      <c r="V57" s="9"/>
    </row>
    <row r="58" spans="1:22" ht="15" customHeight="1" x14ac:dyDescent="0.2">
      <c r="A58" s="9"/>
      <c r="B58" s="80" t="s">
        <v>150</v>
      </c>
      <c r="C58" s="81">
        <f t="shared" si="8"/>
        <v>100</v>
      </c>
      <c r="D58" s="82">
        <f t="shared" si="11"/>
        <v>0</v>
      </c>
      <c r="E58" s="82"/>
      <c r="F58" s="83">
        <f t="shared" si="9"/>
        <v>28</v>
      </c>
      <c r="G58" s="82">
        <f t="shared" ref="G58:G59" si="15">F57-F58</f>
        <v>46</v>
      </c>
      <c r="H58" s="82"/>
      <c r="I58" s="89">
        <f t="shared" si="12"/>
        <v>60.400000000000006</v>
      </c>
      <c r="J58" s="82">
        <f t="shared" si="10"/>
        <v>25.3</v>
      </c>
      <c r="K58" s="85">
        <f>SUM(J54:J58)</f>
        <v>39.6</v>
      </c>
      <c r="L58" s="86">
        <f t="shared" si="13"/>
        <v>60.06089438629877</v>
      </c>
      <c r="M58" s="82">
        <f t="shared" si="14"/>
        <v>25.516650808753568</v>
      </c>
      <c r="N58" s="125">
        <f>SUM(M54:M58)</f>
        <v>39.939105613701237</v>
      </c>
      <c r="O58" s="90">
        <v>4</v>
      </c>
      <c r="P58" s="90">
        <v>20</v>
      </c>
      <c r="Q58" s="9"/>
      <c r="R58" s="9"/>
      <c r="S58" s="9"/>
      <c r="T58" s="9"/>
      <c r="U58" s="9"/>
      <c r="V58" s="9"/>
    </row>
    <row r="59" spans="1:22" ht="15" customHeight="1" x14ac:dyDescent="0.2">
      <c r="A59" s="9"/>
      <c r="B59" s="88" t="s">
        <v>151</v>
      </c>
      <c r="C59" s="81">
        <f t="shared" si="8"/>
        <v>100</v>
      </c>
      <c r="D59" s="82">
        <f t="shared" si="11"/>
        <v>0</v>
      </c>
      <c r="E59" s="82">
        <f>SUM(D54:D59)</f>
        <v>0</v>
      </c>
      <c r="F59" s="83">
        <f t="shared" si="9"/>
        <v>13</v>
      </c>
      <c r="G59" s="82">
        <f t="shared" si="15"/>
        <v>15</v>
      </c>
      <c r="H59" s="82">
        <f>SUM(G54:G59)</f>
        <v>87</v>
      </c>
      <c r="I59" s="89">
        <f t="shared" si="12"/>
        <v>52.15</v>
      </c>
      <c r="J59" s="82">
        <f t="shared" si="10"/>
        <v>8.25</v>
      </c>
      <c r="K59" s="85">
        <f>SUM(J54:J59)</f>
        <v>47.85</v>
      </c>
      <c r="L59" s="86">
        <f t="shared" si="13"/>
        <v>51.740247383444341</v>
      </c>
      <c r="M59" s="82">
        <f t="shared" si="14"/>
        <v>8.3206470028544235</v>
      </c>
      <c r="N59" s="125">
        <f>SUM(M54:M59)</f>
        <v>48.259752616555659</v>
      </c>
      <c r="O59" s="90">
        <v>4</v>
      </c>
      <c r="P59" s="90">
        <v>20</v>
      </c>
      <c r="Q59" s="9"/>
      <c r="R59" s="9"/>
      <c r="S59" s="9"/>
      <c r="T59" s="9"/>
      <c r="U59" s="9"/>
      <c r="V59" s="9"/>
    </row>
    <row r="60" spans="1:22" ht="15" customHeight="1" x14ac:dyDescent="0.2">
      <c r="A60" s="9"/>
      <c r="B60" s="88" t="s">
        <v>152</v>
      </c>
      <c r="C60" s="81">
        <f t="shared" si="8"/>
        <v>100</v>
      </c>
      <c r="D60" s="82">
        <f t="shared" si="11"/>
        <v>0</v>
      </c>
      <c r="E60" s="82">
        <f>D60</f>
        <v>0</v>
      </c>
      <c r="F60" s="83">
        <f t="shared" si="9"/>
        <v>2</v>
      </c>
      <c r="G60" s="82">
        <f>F59-F60</f>
        <v>11</v>
      </c>
      <c r="H60" s="82">
        <f>SUM(G54:G60)</f>
        <v>98</v>
      </c>
      <c r="I60" s="89">
        <f t="shared" si="12"/>
        <v>46.1</v>
      </c>
      <c r="J60" s="82">
        <f t="shared" si="10"/>
        <v>6.0500000000000007</v>
      </c>
      <c r="K60" s="85">
        <f>SUM(J54:J60)</f>
        <v>53.900000000000006</v>
      </c>
      <c r="L60" s="86">
        <f t="shared" si="13"/>
        <v>45.638439581351101</v>
      </c>
      <c r="M60" s="82">
        <f t="shared" si="14"/>
        <v>6.1018078020932442</v>
      </c>
      <c r="N60" s="125">
        <f>SUM(M54:M60)</f>
        <v>54.361560418648907</v>
      </c>
      <c r="O60" s="90">
        <v>4</v>
      </c>
      <c r="P60" s="90">
        <v>20</v>
      </c>
      <c r="Q60" s="9"/>
      <c r="R60" s="9"/>
      <c r="S60" s="9"/>
      <c r="T60" s="9"/>
      <c r="U60" s="9"/>
      <c r="V60" s="9"/>
    </row>
    <row r="61" spans="1:22" ht="15" customHeight="1" x14ac:dyDescent="0.2">
      <c r="A61" s="9"/>
      <c r="B61" s="88" t="s">
        <v>153</v>
      </c>
      <c r="C61" s="81">
        <f t="shared" si="8"/>
        <v>93</v>
      </c>
      <c r="D61" s="82">
        <f>C60-C61</f>
        <v>7</v>
      </c>
      <c r="E61" s="82">
        <f>SUM(D60:D61)</f>
        <v>7</v>
      </c>
      <c r="F61" s="83">
        <f t="shared" si="9"/>
        <v>1</v>
      </c>
      <c r="G61" s="82">
        <f t="shared" ref="G61:G65" si="16">F60-F61</f>
        <v>1</v>
      </c>
      <c r="H61" s="82">
        <f>SUM(G54:G61)</f>
        <v>99</v>
      </c>
      <c r="I61" s="89">
        <f t="shared" si="12"/>
        <v>42.4</v>
      </c>
      <c r="J61" s="82">
        <f t="shared" si="10"/>
        <v>3.7</v>
      </c>
      <c r="K61" s="85">
        <f>SUM(J54:J61)</f>
        <v>57.600000000000009</v>
      </c>
      <c r="L61" s="86">
        <f t="shared" si="13"/>
        <v>41.966698382492872</v>
      </c>
      <c r="M61" s="82">
        <f t="shared" si="14"/>
        <v>3.6717411988582307</v>
      </c>
      <c r="N61" s="125">
        <f>SUM(M54:M61)</f>
        <v>58.033301617507135</v>
      </c>
      <c r="O61" s="90">
        <v>0</v>
      </c>
      <c r="P61" s="90">
        <v>12</v>
      </c>
      <c r="Q61" s="9"/>
      <c r="R61" s="9"/>
      <c r="S61" s="9"/>
      <c r="T61" s="9"/>
      <c r="U61" s="9"/>
      <c r="V61" s="9"/>
    </row>
    <row r="62" spans="1:22" ht="15" customHeight="1" x14ac:dyDescent="0.2">
      <c r="A62" s="9"/>
      <c r="B62" s="88" t="s">
        <v>154</v>
      </c>
      <c r="C62" s="81">
        <f t="shared" si="8"/>
        <v>75</v>
      </c>
      <c r="D62" s="82">
        <f t="shared" ref="D62:D66" si="17">C61-C62</f>
        <v>18</v>
      </c>
      <c r="E62" s="82">
        <f>SUM(D60:D62)</f>
        <v>25</v>
      </c>
      <c r="F62" s="83">
        <f t="shared" si="9"/>
        <v>0</v>
      </c>
      <c r="G62" s="82">
        <f t="shared" si="16"/>
        <v>1</v>
      </c>
      <c r="H62" s="82">
        <f>SUM(G54:G62)</f>
        <v>100</v>
      </c>
      <c r="I62" s="89">
        <f t="shared" si="12"/>
        <v>33.75</v>
      </c>
      <c r="J62" s="82">
        <f t="shared" si="10"/>
        <v>8.65</v>
      </c>
      <c r="K62" s="85">
        <f>SUM(J54:J62)</f>
        <v>66.250000000000014</v>
      </c>
      <c r="L62" s="86">
        <f t="shared" si="13"/>
        <v>33.396764985727884</v>
      </c>
      <c r="M62" s="82">
        <f t="shared" si="14"/>
        <v>8.5699333967649878</v>
      </c>
      <c r="N62" s="125">
        <f>SUM(M54:M62)</f>
        <v>66.603235014272116</v>
      </c>
      <c r="O62" s="90">
        <v>0</v>
      </c>
      <c r="P62" s="90">
        <v>12</v>
      </c>
      <c r="Q62" s="9"/>
      <c r="R62" s="9"/>
      <c r="S62" s="9"/>
      <c r="T62" s="9"/>
      <c r="U62" s="9"/>
      <c r="V62" s="9"/>
    </row>
    <row r="63" spans="1:22" ht="15" customHeight="1" x14ac:dyDescent="0.2">
      <c r="A63" s="9"/>
      <c r="B63" s="88" t="s">
        <v>155</v>
      </c>
      <c r="C63" s="81">
        <f t="shared" si="8"/>
        <v>52</v>
      </c>
      <c r="D63" s="82">
        <f t="shared" si="17"/>
        <v>23</v>
      </c>
      <c r="E63" s="82">
        <f>SUM(D60:D63)</f>
        <v>48</v>
      </c>
      <c r="F63" s="83">
        <f t="shared" si="9"/>
        <v>0</v>
      </c>
      <c r="G63" s="82">
        <f t="shared" si="16"/>
        <v>0</v>
      </c>
      <c r="H63" s="82">
        <f>SUM(G54:G63)</f>
        <v>100</v>
      </c>
      <c r="I63" s="89">
        <f t="shared" si="12"/>
        <v>23.400000000000002</v>
      </c>
      <c r="J63" s="82">
        <f t="shared" si="10"/>
        <v>10.35</v>
      </c>
      <c r="K63" s="85">
        <f>SUM(J54:J63)</f>
        <v>76.600000000000009</v>
      </c>
      <c r="L63" s="86">
        <f t="shared" si="13"/>
        <v>23.155090390104668</v>
      </c>
      <c r="M63" s="82">
        <f t="shared" si="14"/>
        <v>10.241674595623218</v>
      </c>
      <c r="N63" s="125">
        <f>SUM(M54:M63)</f>
        <v>76.844909609895339</v>
      </c>
      <c r="O63" s="90">
        <v>4</v>
      </c>
      <c r="P63" s="90">
        <v>20</v>
      </c>
      <c r="Q63" s="9"/>
      <c r="R63" s="9"/>
      <c r="S63" s="9"/>
      <c r="T63" s="9"/>
      <c r="U63" s="9"/>
      <c r="V63" s="9"/>
    </row>
    <row r="64" spans="1:22" ht="15" customHeight="1" x14ac:dyDescent="0.2">
      <c r="A64" s="9"/>
      <c r="B64" s="88" t="s">
        <v>156</v>
      </c>
      <c r="C64" s="81">
        <f t="shared" si="8"/>
        <v>21</v>
      </c>
      <c r="D64" s="82">
        <f t="shared" si="17"/>
        <v>31</v>
      </c>
      <c r="E64" s="82">
        <f>SUM(D60:D64)</f>
        <v>79</v>
      </c>
      <c r="F64" s="83">
        <f t="shared" si="9"/>
        <v>0</v>
      </c>
      <c r="G64" s="82">
        <f t="shared" si="16"/>
        <v>0</v>
      </c>
      <c r="H64" s="82">
        <f>SUM(G54:G64)</f>
        <v>100</v>
      </c>
      <c r="I64" s="89">
        <f t="shared" si="12"/>
        <v>9.4500000000000011</v>
      </c>
      <c r="J64" s="82">
        <f t="shared" si="10"/>
        <v>13.950000000000001</v>
      </c>
      <c r="K64" s="85">
        <f>SUM(J54:J64)</f>
        <v>90.550000000000011</v>
      </c>
      <c r="L64" s="86">
        <f t="shared" si="13"/>
        <v>9.3510941960038085</v>
      </c>
      <c r="M64" s="82">
        <f t="shared" si="14"/>
        <v>13.80399619410086</v>
      </c>
      <c r="N64" s="87">
        <f>SUM(M54:M64)</f>
        <v>90.6489058039962</v>
      </c>
      <c r="O64" s="90">
        <v>4</v>
      </c>
      <c r="P64" s="90">
        <v>20</v>
      </c>
      <c r="Q64" s="9"/>
      <c r="R64" s="9"/>
      <c r="S64" s="9"/>
      <c r="T64" s="9"/>
      <c r="U64" s="9"/>
      <c r="V64" s="9"/>
    </row>
    <row r="65" spans="1:27" ht="15" customHeight="1" x14ac:dyDescent="0.2">
      <c r="A65" s="9"/>
      <c r="B65" s="88" t="s">
        <v>157</v>
      </c>
      <c r="C65" s="81">
        <f t="shared" si="8"/>
        <v>4</v>
      </c>
      <c r="D65" s="82">
        <f t="shared" si="17"/>
        <v>17</v>
      </c>
      <c r="E65" s="82">
        <f>SUM(D60:D65)</f>
        <v>96</v>
      </c>
      <c r="F65" s="83">
        <f t="shared" si="9"/>
        <v>0</v>
      </c>
      <c r="G65" s="82">
        <f t="shared" si="16"/>
        <v>0</v>
      </c>
      <c r="H65" s="82">
        <f>SUM(G54:G65)</f>
        <v>100</v>
      </c>
      <c r="I65" s="89">
        <f t="shared" si="12"/>
        <v>1.8</v>
      </c>
      <c r="J65" s="82">
        <f t="shared" si="10"/>
        <v>7.65</v>
      </c>
      <c r="K65" s="85">
        <f>SUM(J54:J65)</f>
        <v>98.200000000000017</v>
      </c>
      <c r="L65" s="86">
        <f t="shared" si="13"/>
        <v>1.7811607992388205</v>
      </c>
      <c r="M65" s="82">
        <f t="shared" si="14"/>
        <v>7.5699333967649869</v>
      </c>
      <c r="N65" s="87">
        <f>SUM(M54:M65)</f>
        <v>98.218839200761181</v>
      </c>
      <c r="O65" s="90">
        <v>0</v>
      </c>
      <c r="P65" s="90">
        <v>10</v>
      </c>
      <c r="Q65" s="9"/>
      <c r="R65" s="9"/>
      <c r="S65" s="9"/>
      <c r="T65" s="9"/>
      <c r="U65" s="9"/>
      <c r="V65" s="9"/>
    </row>
    <row r="66" spans="1:27" ht="15" customHeight="1" x14ac:dyDescent="0.2">
      <c r="A66" s="9"/>
      <c r="B66" s="91" t="s">
        <v>158</v>
      </c>
      <c r="C66" s="92">
        <f t="shared" si="8"/>
        <v>1.7</v>
      </c>
      <c r="D66" s="93">
        <f t="shared" si="17"/>
        <v>2.2999999999999998</v>
      </c>
      <c r="E66" s="93"/>
      <c r="F66" s="94">
        <f t="shared" si="9"/>
        <v>0.3</v>
      </c>
      <c r="G66" s="93">
        <f>F65-F66</f>
        <v>-0.3</v>
      </c>
      <c r="H66" s="93"/>
      <c r="I66" s="95">
        <f t="shared" si="12"/>
        <v>0.93</v>
      </c>
      <c r="J66" s="93">
        <f t="shared" si="10"/>
        <v>0.86999999999999988</v>
      </c>
      <c r="K66" s="96">
        <f>SUM(J54:J66)</f>
        <v>99.070000000000022</v>
      </c>
      <c r="L66" s="97">
        <f t="shared" si="13"/>
        <v>0.92340627973358724</v>
      </c>
      <c r="M66" s="93">
        <f t="shared" si="14"/>
        <v>0.85775451950523329</v>
      </c>
      <c r="N66" s="98">
        <f>SUM(M54:M66)</f>
        <v>99.076593720266416</v>
      </c>
      <c r="O66" s="90">
        <v>0</v>
      </c>
      <c r="P66" s="90">
        <v>2</v>
      </c>
      <c r="Q66" s="186"/>
      <c r="R66" s="186"/>
      <c r="S66" s="186"/>
      <c r="T66" s="186"/>
      <c r="U66" s="186"/>
      <c r="V66" s="186"/>
      <c r="W66" s="40"/>
      <c r="X66" s="40"/>
      <c r="Y66" s="123"/>
      <c r="Z66" s="40"/>
      <c r="AA66" s="40"/>
    </row>
    <row r="67" spans="1:27" ht="15" customHeight="1" x14ac:dyDescent="0.2">
      <c r="A67" s="9"/>
      <c r="B67" s="9"/>
      <c r="C67" s="112"/>
      <c r="D67" s="112"/>
      <c r="E67" s="112"/>
      <c r="F67" s="116"/>
      <c r="G67" s="112"/>
      <c r="H67" s="113"/>
      <c r="I67" s="119"/>
      <c r="J67" s="9"/>
      <c r="K67" s="15"/>
      <c r="L67" s="9"/>
      <c r="M67" s="9"/>
      <c r="N67" s="9"/>
      <c r="O67" s="9"/>
      <c r="P67" s="9"/>
      <c r="Q67" s="186"/>
      <c r="R67" s="186"/>
      <c r="S67" s="186"/>
      <c r="T67" s="186"/>
      <c r="U67" s="186"/>
      <c r="V67" s="37"/>
      <c r="W67" s="68"/>
      <c r="X67" s="68"/>
      <c r="Y67" s="68"/>
      <c r="Z67" s="123"/>
      <c r="AA67" s="40"/>
    </row>
    <row r="68" spans="1:27" ht="15" customHeight="1" x14ac:dyDescent="0.2">
      <c r="A68" s="9"/>
      <c r="B68" s="9"/>
      <c r="C68" s="119"/>
      <c r="D68" s="99" t="s">
        <v>105</v>
      </c>
      <c r="E68" s="100">
        <f>SUM(E55,E57,E59,E60,E61,E62,E63,E64,E65)/100</f>
        <v>2.5499999999999998</v>
      </c>
      <c r="F68" s="116"/>
      <c r="G68" s="99" t="s">
        <v>105</v>
      </c>
      <c r="H68" s="101">
        <f>SUM(H55,H57,H59,H60,H61,H62,H63,H64,H65)/100</f>
        <v>7.1</v>
      </c>
      <c r="I68" s="119"/>
      <c r="J68" s="99" t="s">
        <v>105</v>
      </c>
      <c r="K68" s="102">
        <f>SUM(K55,K57,K59,K60,K61,K62,K63,K64,K65)/100</f>
        <v>5.0525000000000011</v>
      </c>
      <c r="L68" s="9"/>
      <c r="M68" s="9"/>
      <c r="N68" s="9"/>
      <c r="O68" s="9"/>
      <c r="P68" s="9"/>
      <c r="Q68" s="186"/>
      <c r="R68" s="186"/>
      <c r="S68" s="186"/>
      <c r="T68" s="186"/>
      <c r="U68" s="187"/>
      <c r="V68" s="37"/>
      <c r="W68" s="68"/>
      <c r="X68" s="68"/>
      <c r="Y68" s="68"/>
      <c r="Z68" s="68"/>
      <c r="AA68" s="40"/>
    </row>
    <row r="69" spans="1:27" ht="15" customHeight="1" x14ac:dyDescent="0.2">
      <c r="A69" s="9"/>
      <c r="B69" s="9"/>
      <c r="C69" s="119"/>
      <c r="D69" s="119"/>
      <c r="E69" s="119"/>
      <c r="F69" s="119"/>
      <c r="G69" s="103"/>
      <c r="H69" s="103"/>
      <c r="I69" s="119"/>
      <c r="J69" s="9"/>
      <c r="K69" s="9"/>
      <c r="L69" s="9"/>
      <c r="M69" s="9"/>
      <c r="N69" s="9"/>
      <c r="O69" s="9"/>
      <c r="P69" s="9"/>
      <c r="Q69" s="186"/>
      <c r="R69" s="186"/>
      <c r="S69" s="186"/>
      <c r="T69" s="186"/>
      <c r="U69" s="187"/>
      <c r="V69" s="37"/>
      <c r="W69" s="68"/>
      <c r="X69" s="68"/>
      <c r="Y69" s="68"/>
      <c r="Z69" s="68"/>
      <c r="AA69" s="40"/>
    </row>
    <row r="70" spans="1:27" ht="15" customHeight="1" x14ac:dyDescent="0.2">
      <c r="A70" s="9"/>
      <c r="B70" s="104" t="s">
        <v>97</v>
      </c>
      <c r="C70" s="509" t="s">
        <v>161</v>
      </c>
      <c r="D70" s="510"/>
      <c r="E70" s="511"/>
      <c r="F70" s="509" t="s">
        <v>172</v>
      </c>
      <c r="G70" s="510"/>
      <c r="H70" s="511"/>
      <c r="I70" s="512" t="s">
        <v>145</v>
      </c>
      <c r="J70" s="513"/>
      <c r="K70" s="514"/>
      <c r="L70" s="515" t="s">
        <v>146</v>
      </c>
      <c r="M70" s="513"/>
      <c r="N70" s="516"/>
      <c r="O70" s="9"/>
      <c r="P70" s="9"/>
      <c r="Q70" s="186"/>
      <c r="R70" s="186"/>
      <c r="S70" s="186"/>
      <c r="T70" s="186"/>
      <c r="U70" s="187"/>
      <c r="V70" s="37"/>
      <c r="W70" s="68"/>
      <c r="X70" s="68"/>
      <c r="Y70" s="68"/>
      <c r="Z70" s="68"/>
      <c r="AA70" s="40"/>
    </row>
    <row r="71" spans="1:27" ht="15" customHeight="1" x14ac:dyDescent="0.2">
      <c r="A71" s="9"/>
      <c r="B71" s="70" t="s">
        <v>103</v>
      </c>
      <c r="C71" s="502">
        <f>C22</f>
        <v>0.4</v>
      </c>
      <c r="D71" s="503"/>
      <c r="E71" s="504"/>
      <c r="F71" s="502">
        <f>1-C22</f>
        <v>0.6</v>
      </c>
      <c r="G71" s="503"/>
      <c r="H71" s="504"/>
      <c r="I71" s="492"/>
      <c r="J71" s="493"/>
      <c r="K71" s="494"/>
      <c r="L71" s="498"/>
      <c r="M71" s="493"/>
      <c r="N71" s="499"/>
      <c r="O71" s="9"/>
      <c r="P71" s="9"/>
      <c r="Q71" s="186"/>
      <c r="R71" s="186"/>
      <c r="S71" s="186"/>
      <c r="T71" s="186"/>
      <c r="U71" s="187"/>
      <c r="V71" s="37"/>
      <c r="W71" s="68"/>
      <c r="X71" s="68"/>
      <c r="Y71" s="68"/>
      <c r="Z71" s="68"/>
      <c r="AA71" s="40"/>
    </row>
    <row r="72" spans="1:27" ht="15" customHeight="1" x14ac:dyDescent="0.2">
      <c r="A72" s="9"/>
      <c r="B72" s="71" t="s">
        <v>104</v>
      </c>
      <c r="C72" s="505">
        <f>(D22/E18/62.4/100)/((D22/E18/62.4/100)+(E22/C18/62.4/100))</f>
        <v>0.3954372623574145</v>
      </c>
      <c r="D72" s="506"/>
      <c r="E72" s="507"/>
      <c r="F72" s="505">
        <f>(E22/C18/62.4/100)/((D22/E18/62.4/100)+(E22/C18/62.4/100))</f>
        <v>0.60456273764258561</v>
      </c>
      <c r="G72" s="506"/>
      <c r="H72" s="507"/>
      <c r="I72" s="495"/>
      <c r="J72" s="496"/>
      <c r="K72" s="497"/>
      <c r="L72" s="500"/>
      <c r="M72" s="496"/>
      <c r="N72" s="501"/>
      <c r="O72" s="456" t="s">
        <v>117</v>
      </c>
      <c r="P72" s="508"/>
      <c r="Q72" s="186"/>
      <c r="R72" s="186"/>
      <c r="S72" s="186"/>
      <c r="T72" s="186"/>
      <c r="U72" s="187"/>
      <c r="V72" s="37"/>
      <c r="W72" s="68"/>
      <c r="X72" s="68"/>
      <c r="Y72" s="68"/>
      <c r="Z72" s="68"/>
      <c r="AA72" s="40"/>
    </row>
    <row r="73" spans="1:27" ht="33" customHeight="1" x14ac:dyDescent="0.25">
      <c r="A73" s="9"/>
      <c r="B73" s="72" t="s">
        <v>100</v>
      </c>
      <c r="C73" s="73" t="s">
        <v>101</v>
      </c>
      <c r="D73" s="74" t="s">
        <v>102</v>
      </c>
      <c r="E73" s="74" t="s">
        <v>106</v>
      </c>
      <c r="F73" s="73" t="s">
        <v>101</v>
      </c>
      <c r="G73" s="74" t="s">
        <v>102</v>
      </c>
      <c r="H73" s="74" t="s">
        <v>106</v>
      </c>
      <c r="I73" s="75" t="s">
        <v>101</v>
      </c>
      <c r="J73" s="74" t="s">
        <v>102</v>
      </c>
      <c r="K73" s="74" t="s">
        <v>106</v>
      </c>
      <c r="L73" s="76" t="s">
        <v>101</v>
      </c>
      <c r="M73" s="74" t="s">
        <v>102</v>
      </c>
      <c r="N73" s="77" t="s">
        <v>106</v>
      </c>
      <c r="O73" s="78" t="s">
        <v>107</v>
      </c>
      <c r="P73" s="79" t="s">
        <v>108</v>
      </c>
      <c r="Q73" s="186"/>
      <c r="R73" s="186"/>
      <c r="S73" s="186"/>
      <c r="T73" s="186"/>
      <c r="U73" s="187"/>
      <c r="V73" s="37"/>
      <c r="W73" s="68"/>
      <c r="X73" s="68"/>
      <c r="Y73" s="68"/>
      <c r="Z73" s="68"/>
      <c r="AA73" s="40"/>
    </row>
    <row r="74" spans="1:27" ht="15" customHeight="1" x14ac:dyDescent="0.2">
      <c r="A74" s="9"/>
      <c r="B74" s="80" t="s">
        <v>149</v>
      </c>
      <c r="C74" s="105">
        <f t="shared" ref="C74:C86" si="18">E3</f>
        <v>100</v>
      </c>
      <c r="D74" s="82">
        <f>100-C74</f>
        <v>0</v>
      </c>
      <c r="E74" s="82"/>
      <c r="F74" s="83">
        <f t="shared" ref="F74:F86" si="19">C3</f>
        <v>100</v>
      </c>
      <c r="G74" s="82">
        <f>100-F74</f>
        <v>0</v>
      </c>
      <c r="H74" s="82"/>
      <c r="I74" s="84">
        <f>C$71*C74+F$71*F74</f>
        <v>100</v>
      </c>
      <c r="J74" s="106">
        <f>C$71*D74+F$71*G74</f>
        <v>0</v>
      </c>
      <c r="K74" s="85">
        <f>J74</f>
        <v>0</v>
      </c>
      <c r="L74" s="86">
        <f>C$72*C74+F$72*F74</f>
        <v>100.00000000000001</v>
      </c>
      <c r="M74" s="82">
        <f>C$72*D74+F$72*G74</f>
        <v>0</v>
      </c>
      <c r="N74" s="87">
        <f>M74</f>
        <v>0</v>
      </c>
      <c r="O74" s="9"/>
      <c r="P74" s="9"/>
      <c r="Q74" s="188"/>
      <c r="R74" s="186"/>
      <c r="S74" s="189"/>
      <c r="T74" s="186"/>
      <c r="U74" s="187"/>
      <c r="V74" s="37"/>
      <c r="W74" s="68"/>
      <c r="X74" s="68"/>
      <c r="Y74" s="68"/>
      <c r="Z74" s="68"/>
      <c r="AA74" s="40"/>
    </row>
    <row r="75" spans="1:27" ht="15" customHeight="1" x14ac:dyDescent="0.2">
      <c r="A75" s="9"/>
      <c r="B75" s="88" t="s">
        <v>159</v>
      </c>
      <c r="C75" s="105">
        <f t="shared" si="18"/>
        <v>100</v>
      </c>
      <c r="D75" s="82">
        <f t="shared" ref="D75:D80" si="20">C74-C75</f>
        <v>0</v>
      </c>
      <c r="E75" s="82">
        <f>SUM(D74:D75)</f>
        <v>0</v>
      </c>
      <c r="F75" s="83">
        <f t="shared" si="19"/>
        <v>100</v>
      </c>
      <c r="G75" s="82">
        <f>F74-F75</f>
        <v>0</v>
      </c>
      <c r="H75" s="82">
        <f>SUM(G74:G75)</f>
        <v>0</v>
      </c>
      <c r="I75" s="89">
        <f>C$71*C75+F$71*F75</f>
        <v>100</v>
      </c>
      <c r="J75" s="82">
        <f>C$71*D75+F$71*G75</f>
        <v>0</v>
      </c>
      <c r="K75" s="85">
        <f>SUM(J74:J75)</f>
        <v>0</v>
      </c>
      <c r="L75" s="86">
        <f>C$72*C75+F$72*F75</f>
        <v>100.00000000000001</v>
      </c>
      <c r="M75" s="82">
        <f>C$72*D75+F$72*G75</f>
        <v>0</v>
      </c>
      <c r="N75" s="87">
        <f>SUM(M74:M75)</f>
        <v>0</v>
      </c>
      <c r="O75" s="90">
        <v>0</v>
      </c>
      <c r="P75" s="90">
        <v>0</v>
      </c>
      <c r="Q75" s="188"/>
      <c r="R75" s="186"/>
      <c r="S75" s="189"/>
      <c r="T75" s="186"/>
      <c r="U75" s="187"/>
      <c r="V75" s="37"/>
      <c r="W75" s="68"/>
      <c r="X75" s="68"/>
      <c r="Y75" s="68"/>
      <c r="Z75" s="68"/>
      <c r="AA75" s="40"/>
    </row>
    <row r="76" spans="1:27" ht="15" customHeight="1" x14ac:dyDescent="0.2">
      <c r="A76" s="9"/>
      <c r="B76" s="80" t="s">
        <v>147</v>
      </c>
      <c r="C76" s="105">
        <f t="shared" si="18"/>
        <v>100</v>
      </c>
      <c r="D76" s="82">
        <f t="shared" si="20"/>
        <v>0</v>
      </c>
      <c r="E76" s="82"/>
      <c r="F76" s="83">
        <f t="shared" si="19"/>
        <v>100</v>
      </c>
      <c r="G76" s="82">
        <f>F75-F76</f>
        <v>0</v>
      </c>
      <c r="H76" s="82"/>
      <c r="I76" s="89">
        <f>C$71*C76+F$71*F76</f>
        <v>100</v>
      </c>
      <c r="J76" s="82">
        <f>C$71*D76+F$71*G76</f>
        <v>0</v>
      </c>
      <c r="K76" s="85">
        <f>SUM(J74:J76)</f>
        <v>0</v>
      </c>
      <c r="L76" s="86">
        <f>C$72*C76+F$72*F76</f>
        <v>100.00000000000001</v>
      </c>
      <c r="M76" s="82">
        <f>C$72*D76+F$72*G76</f>
        <v>0</v>
      </c>
      <c r="N76" s="87">
        <f>SUM(M74:M76)</f>
        <v>0</v>
      </c>
      <c r="O76" s="90">
        <v>0</v>
      </c>
      <c r="P76" s="90">
        <v>16</v>
      </c>
      <c r="Q76" s="176"/>
      <c r="R76" s="186"/>
      <c r="S76" s="190"/>
      <c r="T76" s="186"/>
      <c r="U76" s="187"/>
      <c r="V76" s="37"/>
      <c r="W76" s="68"/>
      <c r="X76" s="68"/>
      <c r="Y76" s="68"/>
      <c r="Z76" s="68"/>
      <c r="AA76" s="40"/>
    </row>
    <row r="77" spans="1:27" ht="15" customHeight="1" x14ac:dyDescent="0.2">
      <c r="A77" s="9"/>
      <c r="B77" s="88" t="s">
        <v>148</v>
      </c>
      <c r="C77" s="105">
        <f t="shared" si="18"/>
        <v>100</v>
      </c>
      <c r="D77" s="82">
        <f t="shared" si="20"/>
        <v>0</v>
      </c>
      <c r="E77" s="82">
        <f>SUM(D74:D77)</f>
        <v>0</v>
      </c>
      <c r="F77" s="83">
        <f t="shared" si="19"/>
        <v>74</v>
      </c>
      <c r="G77" s="82">
        <f>F76-F77</f>
        <v>26</v>
      </c>
      <c r="H77" s="82">
        <f>SUM(G74:G77)</f>
        <v>26</v>
      </c>
      <c r="I77" s="89">
        <f t="shared" ref="I77:I86" si="21">C$71*C77+F$71*F77</f>
        <v>84.4</v>
      </c>
      <c r="J77" s="82">
        <f t="shared" ref="J77:J86" si="22">C$71*D77+F$71*G77</f>
        <v>15.6</v>
      </c>
      <c r="K77" s="85">
        <f>SUM(J74:J77)</f>
        <v>15.6</v>
      </c>
      <c r="L77" s="86">
        <f t="shared" ref="L77:L86" si="23">C$72*C77+F$72*F77</f>
        <v>84.281368821292787</v>
      </c>
      <c r="M77" s="82">
        <f t="shared" ref="M77:M86" si="24">C$72*D77+F$72*G77</f>
        <v>15.718631178707225</v>
      </c>
      <c r="N77" s="87">
        <f>SUM(M74:M77)</f>
        <v>15.718631178707225</v>
      </c>
      <c r="O77" s="90">
        <v>0</v>
      </c>
      <c r="P77" s="90">
        <v>20</v>
      </c>
      <c r="Q77" s="186"/>
      <c r="R77" s="186"/>
      <c r="S77" s="186"/>
      <c r="T77" s="186"/>
      <c r="U77" s="187"/>
      <c r="V77" s="37"/>
      <c r="W77" s="68"/>
      <c r="X77" s="68"/>
      <c r="Y77" s="68"/>
      <c r="Z77" s="68"/>
      <c r="AA77" s="40"/>
    </row>
    <row r="78" spans="1:27" ht="15" customHeight="1" x14ac:dyDescent="0.2">
      <c r="A78" s="9"/>
      <c r="B78" s="80" t="s">
        <v>150</v>
      </c>
      <c r="C78" s="105">
        <f t="shared" si="18"/>
        <v>100</v>
      </c>
      <c r="D78" s="82">
        <f t="shared" si="20"/>
        <v>0</v>
      </c>
      <c r="E78" s="82"/>
      <c r="F78" s="83">
        <f t="shared" si="19"/>
        <v>28</v>
      </c>
      <c r="G78" s="82">
        <f t="shared" ref="G78:G79" si="25">F77-F78</f>
        <v>46</v>
      </c>
      <c r="H78" s="82"/>
      <c r="I78" s="89">
        <f t="shared" si="21"/>
        <v>56.8</v>
      </c>
      <c r="J78" s="82">
        <f t="shared" si="22"/>
        <v>27.599999999999998</v>
      </c>
      <c r="K78" s="85">
        <f>SUM(J74:J78)</f>
        <v>43.199999999999996</v>
      </c>
      <c r="L78" s="86">
        <f t="shared" si="23"/>
        <v>56.471482889733849</v>
      </c>
      <c r="M78" s="82">
        <f t="shared" si="24"/>
        <v>27.809885931558938</v>
      </c>
      <c r="N78" s="125">
        <f>SUM(M74:M78)</f>
        <v>43.528517110266165</v>
      </c>
      <c r="O78" s="90">
        <v>4</v>
      </c>
      <c r="P78" s="90">
        <v>20</v>
      </c>
      <c r="Q78" s="186"/>
      <c r="R78" s="186"/>
      <c r="S78" s="186"/>
      <c r="T78" s="186"/>
      <c r="U78" s="187"/>
      <c r="V78" s="37"/>
      <c r="W78" s="68"/>
      <c r="X78" s="68"/>
      <c r="Y78" s="68"/>
      <c r="Z78" s="68"/>
      <c r="AA78" s="40"/>
    </row>
    <row r="79" spans="1:27" ht="15" customHeight="1" x14ac:dyDescent="0.2">
      <c r="A79" s="9"/>
      <c r="B79" s="88" t="s">
        <v>151</v>
      </c>
      <c r="C79" s="105">
        <f t="shared" si="18"/>
        <v>100</v>
      </c>
      <c r="D79" s="82">
        <f t="shared" si="20"/>
        <v>0</v>
      </c>
      <c r="E79" s="82">
        <f>SUM(D74:D79)</f>
        <v>0</v>
      </c>
      <c r="F79" s="83">
        <f t="shared" si="19"/>
        <v>13</v>
      </c>
      <c r="G79" s="82">
        <f t="shared" si="25"/>
        <v>15</v>
      </c>
      <c r="H79" s="82">
        <f>SUM(G74:G79)</f>
        <v>87</v>
      </c>
      <c r="I79" s="89">
        <f t="shared" si="21"/>
        <v>47.8</v>
      </c>
      <c r="J79" s="82">
        <f t="shared" si="22"/>
        <v>9</v>
      </c>
      <c r="K79" s="85">
        <f>SUM(J74:J79)</f>
        <v>52.199999999999996</v>
      </c>
      <c r="L79" s="86">
        <f t="shared" si="23"/>
        <v>47.403041825095066</v>
      </c>
      <c r="M79" s="82">
        <f t="shared" si="24"/>
        <v>9.068441064638785</v>
      </c>
      <c r="N79" s="125">
        <f>SUM(M74:M79)</f>
        <v>52.596958174904948</v>
      </c>
      <c r="O79" s="90">
        <v>4</v>
      </c>
      <c r="P79" s="90">
        <v>20</v>
      </c>
      <c r="Q79" s="186"/>
      <c r="R79" s="186"/>
      <c r="S79" s="186"/>
      <c r="T79" s="186"/>
      <c r="U79" s="187"/>
      <c r="V79" s="37"/>
      <c r="W79" s="68"/>
      <c r="X79" s="68"/>
      <c r="Y79" s="68"/>
      <c r="Z79" s="68"/>
      <c r="AA79" s="40"/>
    </row>
    <row r="80" spans="1:27" ht="15" customHeight="1" x14ac:dyDescent="0.2">
      <c r="A80" s="9"/>
      <c r="B80" s="88" t="s">
        <v>152</v>
      </c>
      <c r="C80" s="105">
        <f t="shared" si="18"/>
        <v>98</v>
      </c>
      <c r="D80" s="82">
        <f t="shared" si="20"/>
        <v>2</v>
      </c>
      <c r="E80" s="82">
        <f>D80</f>
        <v>2</v>
      </c>
      <c r="F80" s="83">
        <f t="shared" si="19"/>
        <v>2</v>
      </c>
      <c r="G80" s="82">
        <f>F79-F80</f>
        <v>11</v>
      </c>
      <c r="H80" s="82">
        <f>SUM(G74:G80)</f>
        <v>98</v>
      </c>
      <c r="I80" s="89">
        <f t="shared" si="21"/>
        <v>40.400000000000006</v>
      </c>
      <c r="J80" s="82">
        <f t="shared" si="22"/>
        <v>7.3999999999999995</v>
      </c>
      <c r="K80" s="85">
        <f>SUM(J74:J80)</f>
        <v>59.599999999999994</v>
      </c>
      <c r="L80" s="86">
        <f t="shared" si="23"/>
        <v>39.961977186311792</v>
      </c>
      <c r="M80" s="82">
        <f t="shared" si="24"/>
        <v>7.4410646387832706</v>
      </c>
      <c r="N80" s="125">
        <f>SUM(M74:M80)</f>
        <v>60.038022813688215</v>
      </c>
      <c r="O80" s="90">
        <v>4</v>
      </c>
      <c r="P80" s="90">
        <v>20</v>
      </c>
      <c r="Q80" s="186"/>
      <c r="R80" s="186"/>
      <c r="S80" s="186"/>
      <c r="T80" s="186"/>
      <c r="U80" s="187"/>
      <c r="V80" s="37"/>
      <c r="W80" s="68"/>
      <c r="X80" s="68"/>
      <c r="Y80" s="68"/>
      <c r="Z80" s="68"/>
      <c r="AA80" s="40"/>
    </row>
    <row r="81" spans="1:41" ht="15" customHeight="1" x14ac:dyDescent="0.2">
      <c r="A81" s="9"/>
      <c r="B81" s="88" t="s">
        <v>153</v>
      </c>
      <c r="C81" s="105">
        <f t="shared" si="18"/>
        <v>83</v>
      </c>
      <c r="D81" s="82">
        <f>C80-C81</f>
        <v>15</v>
      </c>
      <c r="E81" s="82">
        <f>SUM(D80:D81)</f>
        <v>17</v>
      </c>
      <c r="F81" s="83">
        <f t="shared" si="19"/>
        <v>1</v>
      </c>
      <c r="G81" s="82">
        <f t="shared" ref="G81:G85" si="26">F80-F81</f>
        <v>1</v>
      </c>
      <c r="H81" s="82">
        <f>SUM(G74:G81)</f>
        <v>99</v>
      </c>
      <c r="I81" s="89">
        <f t="shared" si="21"/>
        <v>33.800000000000004</v>
      </c>
      <c r="J81" s="82">
        <f t="shared" si="22"/>
        <v>6.6</v>
      </c>
      <c r="K81" s="85">
        <f>SUM(J74:J81)</f>
        <v>66.199999999999989</v>
      </c>
      <c r="L81" s="86">
        <f t="shared" si="23"/>
        <v>33.425855513307994</v>
      </c>
      <c r="M81" s="82">
        <f t="shared" si="24"/>
        <v>6.5361216730038034</v>
      </c>
      <c r="N81" s="125">
        <f>SUM(M74:M81)</f>
        <v>66.57414448669202</v>
      </c>
      <c r="O81" s="90">
        <v>0</v>
      </c>
      <c r="P81" s="90">
        <v>12</v>
      </c>
      <c r="Q81" s="186"/>
      <c r="R81" s="186"/>
      <c r="S81" s="186"/>
      <c r="T81" s="186"/>
      <c r="U81" s="186"/>
      <c r="V81" s="37"/>
      <c r="W81" s="68"/>
      <c r="X81" s="68"/>
      <c r="Y81" s="40"/>
      <c r="Z81" s="40"/>
      <c r="AA81" s="40"/>
    </row>
    <row r="82" spans="1:41" ht="15" customHeight="1" x14ac:dyDescent="0.2">
      <c r="A82" s="9"/>
      <c r="B82" s="88" t="s">
        <v>154</v>
      </c>
      <c r="C82" s="105">
        <f t="shared" si="18"/>
        <v>63</v>
      </c>
      <c r="D82" s="82">
        <f t="shared" ref="D82:D86" si="27">C81-C82</f>
        <v>20</v>
      </c>
      <c r="E82" s="82">
        <f>SUM(D80:D82)</f>
        <v>37</v>
      </c>
      <c r="F82" s="83">
        <f t="shared" si="19"/>
        <v>0</v>
      </c>
      <c r="G82" s="82">
        <f t="shared" si="26"/>
        <v>1</v>
      </c>
      <c r="H82" s="82">
        <f>SUM(G74:G82)</f>
        <v>100</v>
      </c>
      <c r="I82" s="89">
        <f t="shared" si="21"/>
        <v>25.200000000000003</v>
      </c>
      <c r="J82" s="82">
        <f t="shared" si="22"/>
        <v>8.6</v>
      </c>
      <c r="K82" s="85">
        <f>SUM(J74:J82)</f>
        <v>74.799999999999983</v>
      </c>
      <c r="L82" s="86">
        <f t="shared" si="23"/>
        <v>24.912547528517113</v>
      </c>
      <c r="M82" s="82">
        <f t="shared" si="24"/>
        <v>8.5133079847908757</v>
      </c>
      <c r="N82" s="125">
        <f>SUM(M74:M82)</f>
        <v>75.087452471482891</v>
      </c>
      <c r="O82" s="90">
        <v>0</v>
      </c>
      <c r="P82" s="90">
        <v>12</v>
      </c>
      <c r="Q82" s="186"/>
      <c r="R82" s="186"/>
      <c r="S82" s="186"/>
      <c r="T82" s="186"/>
      <c r="U82" s="186"/>
      <c r="V82" s="37"/>
      <c r="W82" s="68"/>
      <c r="X82" s="68"/>
      <c r="Y82" s="40"/>
      <c r="Z82" s="40"/>
      <c r="AA82" s="40"/>
    </row>
    <row r="83" spans="1:41" ht="15" customHeight="1" x14ac:dyDescent="0.2">
      <c r="A83" s="9"/>
      <c r="B83" s="88" t="s">
        <v>155</v>
      </c>
      <c r="C83" s="105">
        <f t="shared" si="18"/>
        <v>37</v>
      </c>
      <c r="D83" s="82">
        <f t="shared" si="27"/>
        <v>26</v>
      </c>
      <c r="E83" s="82">
        <f>SUM(D80:D83)</f>
        <v>63</v>
      </c>
      <c r="F83" s="83">
        <f t="shared" si="19"/>
        <v>0</v>
      </c>
      <c r="G83" s="82">
        <f t="shared" si="26"/>
        <v>0</v>
      </c>
      <c r="H83" s="82">
        <f>SUM(G74:G83)</f>
        <v>100</v>
      </c>
      <c r="I83" s="89">
        <f t="shared" si="21"/>
        <v>14.8</v>
      </c>
      <c r="J83" s="82">
        <f t="shared" si="22"/>
        <v>10.4</v>
      </c>
      <c r="K83" s="85">
        <f>SUM(J74:J83)</f>
        <v>85.199999999999989</v>
      </c>
      <c r="L83" s="86">
        <f t="shared" si="23"/>
        <v>14.631178707224336</v>
      </c>
      <c r="M83" s="82">
        <f t="shared" si="24"/>
        <v>10.281368821292777</v>
      </c>
      <c r="N83" s="125">
        <f>SUM(M74:M83)</f>
        <v>85.368821292775664</v>
      </c>
      <c r="O83" s="90">
        <v>4</v>
      </c>
      <c r="P83" s="90">
        <v>20</v>
      </c>
      <c r="Q83" s="186"/>
      <c r="R83" s="186"/>
      <c r="S83" s="186"/>
      <c r="T83" s="186"/>
      <c r="U83" s="186"/>
      <c r="V83" s="37"/>
      <c r="W83" s="68"/>
      <c r="X83" s="68"/>
      <c r="Y83" s="68"/>
      <c r="Z83" s="40"/>
      <c r="AA83" s="40"/>
    </row>
    <row r="84" spans="1:41" ht="15" customHeight="1" x14ac:dyDescent="0.2">
      <c r="A84" s="9"/>
      <c r="B84" s="88" t="s">
        <v>156</v>
      </c>
      <c r="C84" s="105">
        <f t="shared" si="18"/>
        <v>11</v>
      </c>
      <c r="D84" s="82">
        <f t="shared" si="27"/>
        <v>26</v>
      </c>
      <c r="E84" s="82">
        <f>SUM(D80:D84)</f>
        <v>89</v>
      </c>
      <c r="F84" s="83">
        <f t="shared" si="19"/>
        <v>0</v>
      </c>
      <c r="G84" s="82">
        <f t="shared" si="26"/>
        <v>0</v>
      </c>
      <c r="H84" s="82">
        <f>SUM(G74:G84)</f>
        <v>100</v>
      </c>
      <c r="I84" s="89">
        <f t="shared" si="21"/>
        <v>4.4000000000000004</v>
      </c>
      <c r="J84" s="82">
        <f t="shared" si="22"/>
        <v>10.4</v>
      </c>
      <c r="K84" s="85">
        <f>SUM(J74:J84)</f>
        <v>95.6</v>
      </c>
      <c r="L84" s="86">
        <f t="shared" si="23"/>
        <v>4.3498098859315597</v>
      </c>
      <c r="M84" s="82">
        <f t="shared" si="24"/>
        <v>10.281368821292777</v>
      </c>
      <c r="N84" s="125">
        <f>SUM(M74:M84)</f>
        <v>95.650190114068437</v>
      </c>
      <c r="O84" s="90">
        <v>4</v>
      </c>
      <c r="P84" s="90">
        <v>20</v>
      </c>
      <c r="Q84" s="186"/>
      <c r="R84" s="186"/>
      <c r="S84" s="186"/>
      <c r="T84" s="186"/>
      <c r="U84" s="186"/>
      <c r="V84" s="186"/>
      <c r="W84" s="40"/>
      <c r="X84" s="40"/>
      <c r="Y84" s="40"/>
      <c r="Z84" s="40"/>
      <c r="AA84" s="40"/>
    </row>
    <row r="85" spans="1:41" ht="15" customHeight="1" x14ac:dyDescent="0.2">
      <c r="A85" s="9"/>
      <c r="B85" s="88" t="s">
        <v>157</v>
      </c>
      <c r="C85" s="105">
        <f t="shared" si="18"/>
        <v>1</v>
      </c>
      <c r="D85" s="82">
        <f t="shared" si="27"/>
        <v>10</v>
      </c>
      <c r="E85" s="82">
        <f>SUM(D80:D85)</f>
        <v>99</v>
      </c>
      <c r="F85" s="83">
        <f t="shared" si="19"/>
        <v>0</v>
      </c>
      <c r="G85" s="82">
        <f t="shared" si="26"/>
        <v>0</v>
      </c>
      <c r="H85" s="82">
        <f>SUM(G74:G85)</f>
        <v>100</v>
      </c>
      <c r="I85" s="89">
        <f t="shared" si="21"/>
        <v>0.4</v>
      </c>
      <c r="J85" s="82">
        <f t="shared" si="22"/>
        <v>4</v>
      </c>
      <c r="K85" s="85">
        <f>SUM(J74:J85)</f>
        <v>99.6</v>
      </c>
      <c r="L85" s="86">
        <f t="shared" si="23"/>
        <v>0.3954372623574145</v>
      </c>
      <c r="M85" s="82">
        <f t="shared" si="24"/>
        <v>3.954372623574145</v>
      </c>
      <c r="N85" s="87">
        <f>SUM(M74:M85)</f>
        <v>99.604562737642581</v>
      </c>
      <c r="O85" s="90">
        <v>0</v>
      </c>
      <c r="P85" s="90">
        <v>10</v>
      </c>
      <c r="Q85" s="186"/>
      <c r="R85" s="186"/>
      <c r="S85" s="186"/>
      <c r="T85" s="186"/>
      <c r="U85" s="186"/>
      <c r="V85" s="186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</row>
    <row r="86" spans="1:41" ht="15" customHeight="1" x14ac:dyDescent="0.2">
      <c r="A86" s="9"/>
      <c r="B86" s="91" t="s">
        <v>158</v>
      </c>
      <c r="C86" s="107">
        <f t="shared" si="18"/>
        <v>0.4</v>
      </c>
      <c r="D86" s="93">
        <f t="shared" si="27"/>
        <v>0.6</v>
      </c>
      <c r="E86" s="93"/>
      <c r="F86" s="94">
        <f t="shared" si="19"/>
        <v>0.3</v>
      </c>
      <c r="G86" s="93">
        <f>F85-F86</f>
        <v>-0.3</v>
      </c>
      <c r="H86" s="93"/>
      <c r="I86" s="95">
        <f t="shared" si="21"/>
        <v>0.34</v>
      </c>
      <c r="J86" s="93">
        <f t="shared" si="22"/>
        <v>0.06</v>
      </c>
      <c r="K86" s="96">
        <f>SUM(J74:J86)</f>
        <v>99.66</v>
      </c>
      <c r="L86" s="97">
        <f t="shared" si="23"/>
        <v>0.33954372623574147</v>
      </c>
      <c r="M86" s="93">
        <f t="shared" si="24"/>
        <v>5.5893536121672999E-2</v>
      </c>
      <c r="N86" s="98">
        <f>SUM(M74:M86)</f>
        <v>99.660456273764254</v>
      </c>
      <c r="O86" s="90">
        <v>0</v>
      </c>
      <c r="P86" s="90">
        <v>2</v>
      </c>
      <c r="Q86" s="9"/>
      <c r="R86" s="9"/>
      <c r="S86" s="9"/>
      <c r="T86" s="9"/>
      <c r="U86" s="9"/>
      <c r="V86" s="9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</row>
    <row r="87" spans="1:41" x14ac:dyDescent="0.2">
      <c r="A87" s="9"/>
      <c r="B87" s="9"/>
      <c r="C87" s="112"/>
      <c r="D87" s="112"/>
      <c r="E87" s="112"/>
      <c r="F87" s="116"/>
      <c r="G87" s="112"/>
      <c r="H87" s="113"/>
      <c r="I87" s="119"/>
      <c r="J87" s="9"/>
      <c r="K87" s="15"/>
      <c r="L87" s="9"/>
      <c r="M87" s="9"/>
      <c r="N87" s="9"/>
      <c r="O87" s="9"/>
      <c r="P87" s="9"/>
      <c r="Q87" s="9"/>
      <c r="R87" s="9"/>
      <c r="S87" s="9"/>
      <c r="T87" s="14"/>
      <c r="U87" s="14"/>
      <c r="V87" s="14"/>
      <c r="W87" s="3"/>
      <c r="X87" s="3"/>
      <c r="Y87" s="3"/>
      <c r="Z87" s="3"/>
      <c r="AA87" s="3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</row>
    <row r="88" spans="1:41" ht="14.25" x14ac:dyDescent="0.2">
      <c r="A88" s="9"/>
      <c r="B88" s="9"/>
      <c r="C88" s="119"/>
      <c r="D88" s="99" t="s">
        <v>105</v>
      </c>
      <c r="E88" s="100">
        <f>SUM(E75,E77,E79,E80,E81,E82,E83,E84,E85)/100</f>
        <v>3.07</v>
      </c>
      <c r="F88" s="116"/>
      <c r="G88" s="99" t="s">
        <v>105</v>
      </c>
      <c r="H88" s="101">
        <f>SUM(H75,H77,H79,H80,H81,H82,H83,H84,H85)/100</f>
        <v>7.1</v>
      </c>
      <c r="I88" s="119"/>
      <c r="J88" s="99" t="s">
        <v>105</v>
      </c>
      <c r="K88" s="102">
        <f>SUM(K75,K77,K79,K80,K81,K82,K83,K84,K85)/100</f>
        <v>5.4879999999999995</v>
      </c>
      <c r="L88" s="9"/>
      <c r="M88" s="9"/>
      <c r="N88" s="9"/>
      <c r="O88" s="9"/>
      <c r="P88" s="9"/>
      <c r="Q88" s="9"/>
      <c r="R88" s="9"/>
      <c r="S88" s="9"/>
      <c r="T88" s="14"/>
      <c r="U88" s="14"/>
      <c r="V88" s="14"/>
      <c r="W88" s="3"/>
      <c r="X88" s="3"/>
      <c r="Y88" s="3"/>
      <c r="Z88" s="3"/>
      <c r="AA88" s="3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</row>
    <row r="89" spans="1:41" x14ac:dyDescent="0.2">
      <c r="A89" s="9"/>
      <c r="B89" s="9"/>
      <c r="C89" s="119"/>
      <c r="D89" s="119"/>
      <c r="E89" s="119"/>
      <c r="F89" s="119"/>
      <c r="G89" s="119"/>
      <c r="H89" s="119"/>
      <c r="I89" s="119"/>
      <c r="J89" s="9"/>
      <c r="K89" s="9"/>
      <c r="L89" s="9"/>
      <c r="M89" s="9"/>
      <c r="N89" s="9"/>
      <c r="O89" s="9"/>
      <c r="P89" s="9"/>
      <c r="Q89" s="9"/>
      <c r="R89" s="9"/>
      <c r="S89" s="9"/>
      <c r="T89" s="14"/>
      <c r="U89" s="14"/>
      <c r="V89" s="14"/>
      <c r="W89" s="3"/>
      <c r="X89" s="122"/>
      <c r="Y89" s="3"/>
      <c r="Z89" s="3"/>
      <c r="AA89" s="3"/>
      <c r="AB89" s="40"/>
      <c r="AC89" s="40"/>
      <c r="AD89" s="123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</row>
    <row r="90" spans="1:41" ht="15.75" x14ac:dyDescent="0.2">
      <c r="A90" s="9"/>
      <c r="B90" s="104" t="s">
        <v>97</v>
      </c>
      <c r="C90" s="509" t="s">
        <v>161</v>
      </c>
      <c r="D90" s="510"/>
      <c r="E90" s="511"/>
      <c r="F90" s="509" t="s">
        <v>172</v>
      </c>
      <c r="G90" s="510"/>
      <c r="H90" s="511"/>
      <c r="I90" s="512" t="s">
        <v>145</v>
      </c>
      <c r="J90" s="513"/>
      <c r="K90" s="514"/>
      <c r="L90" s="515" t="s">
        <v>146</v>
      </c>
      <c r="M90" s="513"/>
      <c r="N90" s="516"/>
      <c r="O90" s="9"/>
      <c r="P90" s="9"/>
      <c r="Q90" s="9"/>
      <c r="R90" s="9"/>
      <c r="S90" s="9"/>
      <c r="T90" s="186"/>
      <c r="U90" s="186"/>
      <c r="V90" s="176"/>
      <c r="W90" s="67"/>
      <c r="X90" s="121"/>
      <c r="Y90" s="121"/>
      <c r="Z90" s="121"/>
      <c r="AA90" s="121"/>
      <c r="AB90" s="67"/>
      <c r="AC90" s="67"/>
      <c r="AD90" s="67"/>
      <c r="AE90" s="67"/>
      <c r="AF90" s="40"/>
      <c r="AG90" s="67"/>
      <c r="AH90" s="67"/>
      <c r="AI90" s="40"/>
      <c r="AJ90" s="40"/>
      <c r="AK90" s="40"/>
      <c r="AL90" s="40"/>
      <c r="AM90" s="40"/>
      <c r="AN90" s="40"/>
      <c r="AO90" s="40"/>
    </row>
    <row r="91" spans="1:41" ht="14.25" x14ac:dyDescent="0.2">
      <c r="A91" s="9"/>
      <c r="B91" s="70" t="s">
        <v>103</v>
      </c>
      <c r="C91" s="502">
        <f>C23</f>
        <v>0.45</v>
      </c>
      <c r="D91" s="503"/>
      <c r="E91" s="504"/>
      <c r="F91" s="502">
        <f>1-C23</f>
        <v>0.55000000000000004</v>
      </c>
      <c r="G91" s="503"/>
      <c r="H91" s="504"/>
      <c r="I91" s="492"/>
      <c r="J91" s="493"/>
      <c r="K91" s="494"/>
      <c r="L91" s="498"/>
      <c r="M91" s="493"/>
      <c r="N91" s="499"/>
      <c r="O91" s="9"/>
      <c r="P91" s="9"/>
      <c r="Q91" s="9"/>
      <c r="R91" s="9"/>
      <c r="S91" s="9"/>
      <c r="T91" s="186"/>
      <c r="U91" s="186"/>
      <c r="V91" s="37"/>
      <c r="W91" s="67"/>
      <c r="X91" s="118"/>
      <c r="Y91" s="118"/>
      <c r="Z91" s="118"/>
      <c r="AA91" s="118"/>
      <c r="AB91" s="68"/>
      <c r="AC91" s="68"/>
      <c r="AD91" s="68"/>
      <c r="AE91" s="68"/>
      <c r="AF91" s="68"/>
      <c r="AG91" s="40"/>
      <c r="AH91" s="67"/>
      <c r="AI91" s="40"/>
      <c r="AJ91" s="123"/>
      <c r="AK91" s="40"/>
      <c r="AL91" s="40"/>
      <c r="AM91" s="40"/>
      <c r="AN91" s="40"/>
      <c r="AO91" s="40"/>
    </row>
    <row r="92" spans="1:41" ht="14.25" x14ac:dyDescent="0.2">
      <c r="A92" s="9"/>
      <c r="B92" s="71" t="s">
        <v>104</v>
      </c>
      <c r="C92" s="505">
        <f>(D23/E18/62.4/100)/((D23/E18/62.4/100)+(E23/C18/62.4/100))</f>
        <v>0.44529019980970513</v>
      </c>
      <c r="D92" s="506"/>
      <c r="E92" s="507"/>
      <c r="F92" s="505">
        <f>(E23/C18/62.4/100)/((D23/E18/62.4/100)+(E23/C18/62.4/100))</f>
        <v>0.55470980019029492</v>
      </c>
      <c r="G92" s="506"/>
      <c r="H92" s="507"/>
      <c r="I92" s="495"/>
      <c r="J92" s="496"/>
      <c r="K92" s="497"/>
      <c r="L92" s="500"/>
      <c r="M92" s="496"/>
      <c r="N92" s="501"/>
      <c r="O92" s="456" t="s">
        <v>117</v>
      </c>
      <c r="P92" s="508"/>
      <c r="Q92" s="9"/>
      <c r="R92" s="9"/>
      <c r="S92" s="9"/>
      <c r="T92" s="186"/>
      <c r="U92" s="187"/>
      <c r="V92" s="191"/>
      <c r="W92" s="66"/>
      <c r="X92" s="124"/>
      <c r="Y92" s="124"/>
      <c r="Z92" s="124"/>
      <c r="AA92" s="124"/>
      <c r="AB92" s="66"/>
      <c r="AC92" s="68"/>
      <c r="AD92" s="66"/>
      <c r="AE92" s="66"/>
      <c r="AF92" s="66"/>
      <c r="AG92" s="66"/>
      <c r="AH92" s="66"/>
      <c r="AI92" s="40"/>
      <c r="AJ92" s="66"/>
      <c r="AK92" s="40"/>
      <c r="AL92" s="40"/>
      <c r="AM92" s="40"/>
      <c r="AN92" s="40"/>
      <c r="AO92" s="40"/>
    </row>
    <row r="93" spans="1:41" ht="30.75" customHeight="1" x14ac:dyDescent="0.25">
      <c r="A93" s="9"/>
      <c r="B93" s="72" t="s">
        <v>100</v>
      </c>
      <c r="C93" s="73" t="s">
        <v>101</v>
      </c>
      <c r="D93" s="74" t="s">
        <v>102</v>
      </c>
      <c r="E93" s="74" t="s">
        <v>106</v>
      </c>
      <c r="F93" s="73" t="s">
        <v>101</v>
      </c>
      <c r="G93" s="74" t="s">
        <v>102</v>
      </c>
      <c r="H93" s="74" t="s">
        <v>106</v>
      </c>
      <c r="I93" s="75" t="s">
        <v>101</v>
      </c>
      <c r="J93" s="74" t="s">
        <v>102</v>
      </c>
      <c r="K93" s="74" t="s">
        <v>106</v>
      </c>
      <c r="L93" s="76" t="s">
        <v>101</v>
      </c>
      <c r="M93" s="74" t="s">
        <v>102</v>
      </c>
      <c r="N93" s="77" t="s">
        <v>106</v>
      </c>
      <c r="O93" s="78" t="s">
        <v>107</v>
      </c>
      <c r="P93" s="79" t="s">
        <v>108</v>
      </c>
      <c r="Q93" s="9"/>
      <c r="R93" s="9"/>
      <c r="S93" s="9"/>
      <c r="T93" s="186"/>
      <c r="U93" s="187"/>
      <c r="V93" s="191"/>
      <c r="W93" s="66"/>
      <c r="X93" s="124"/>
      <c r="Y93" s="124"/>
      <c r="Z93" s="124"/>
      <c r="AA93" s="124"/>
      <c r="AB93" s="66"/>
      <c r="AC93" s="68"/>
      <c r="AD93" s="66"/>
      <c r="AE93" s="66"/>
      <c r="AF93" s="66"/>
      <c r="AG93" s="66"/>
      <c r="AH93" s="66"/>
      <c r="AI93" s="40"/>
      <c r="AJ93" s="66"/>
      <c r="AK93" s="40"/>
      <c r="AL93" s="40"/>
      <c r="AM93" s="40"/>
      <c r="AN93" s="40"/>
      <c r="AO93" s="40"/>
    </row>
    <row r="94" spans="1:41" ht="14.25" x14ac:dyDescent="0.2">
      <c r="A94" s="9"/>
      <c r="B94" s="80" t="s">
        <v>149</v>
      </c>
      <c r="C94" s="105">
        <f t="shared" ref="C94:C106" si="28">E3</f>
        <v>100</v>
      </c>
      <c r="D94" s="82">
        <f>100-C94</f>
        <v>0</v>
      </c>
      <c r="E94" s="82"/>
      <c r="F94" s="83">
        <f t="shared" ref="F94:F106" si="29">C3</f>
        <v>100</v>
      </c>
      <c r="G94" s="82">
        <f>100-F94</f>
        <v>0</v>
      </c>
      <c r="H94" s="82"/>
      <c r="I94" s="84">
        <f>C$91*C94+F$91*F94</f>
        <v>100</v>
      </c>
      <c r="J94" s="106">
        <f>C$91*D94+F$91*G94</f>
        <v>0</v>
      </c>
      <c r="K94" s="85">
        <f>J94</f>
        <v>0</v>
      </c>
      <c r="L94" s="86">
        <f>C$92*C94+F$92*F94</f>
        <v>100</v>
      </c>
      <c r="M94" s="82">
        <f>C$92*D94+F$92*G94</f>
        <v>0</v>
      </c>
      <c r="N94" s="87">
        <f>M94</f>
        <v>0</v>
      </c>
      <c r="O94" s="9"/>
      <c r="P94" s="9"/>
      <c r="Q94" s="182"/>
      <c r="R94" s="9"/>
      <c r="S94" s="183"/>
      <c r="T94" s="186"/>
      <c r="U94" s="187"/>
      <c r="V94" s="191"/>
      <c r="W94" s="66"/>
      <c r="X94" s="124"/>
      <c r="Y94" s="124"/>
      <c r="Z94" s="124"/>
      <c r="AA94" s="124"/>
      <c r="AB94" s="66"/>
      <c r="AC94" s="68"/>
      <c r="AD94" s="66"/>
      <c r="AE94" s="66"/>
      <c r="AF94" s="66"/>
      <c r="AG94" s="66"/>
      <c r="AH94" s="67"/>
      <c r="AI94" s="40"/>
      <c r="AJ94" s="68"/>
      <c r="AK94" s="40"/>
      <c r="AL94" s="40"/>
      <c r="AM94" s="40"/>
      <c r="AN94" s="40"/>
      <c r="AO94" s="40"/>
    </row>
    <row r="95" spans="1:41" ht="14.25" x14ac:dyDescent="0.2">
      <c r="A95" s="9"/>
      <c r="B95" s="88" t="s">
        <v>159</v>
      </c>
      <c r="C95" s="105">
        <f t="shared" si="28"/>
        <v>100</v>
      </c>
      <c r="D95" s="82">
        <f t="shared" ref="D95:D100" si="30">C94-C95</f>
        <v>0</v>
      </c>
      <c r="E95" s="82">
        <f>SUM(D94:D95)</f>
        <v>0</v>
      </c>
      <c r="F95" s="83">
        <f t="shared" si="29"/>
        <v>100</v>
      </c>
      <c r="G95" s="82">
        <f>F94-F95</f>
        <v>0</v>
      </c>
      <c r="H95" s="82">
        <f>SUM(G94:G95)</f>
        <v>0</v>
      </c>
      <c r="I95" s="89">
        <f>C$91*C95+F$91*F95</f>
        <v>100</v>
      </c>
      <c r="J95" s="82">
        <f>C$91*D95+F$91*G95</f>
        <v>0</v>
      </c>
      <c r="K95" s="85">
        <f>SUM(J94:J95)</f>
        <v>0</v>
      </c>
      <c r="L95" s="86">
        <f>C$92*C95+F$92*F95</f>
        <v>100</v>
      </c>
      <c r="M95" s="82">
        <f>C$92*D95+F$92*G95</f>
        <v>0</v>
      </c>
      <c r="N95" s="87">
        <f>SUM(M94:M95)</f>
        <v>0</v>
      </c>
      <c r="O95" s="90">
        <v>0</v>
      </c>
      <c r="P95" s="90">
        <v>0</v>
      </c>
      <c r="Q95" s="182"/>
      <c r="R95" s="9"/>
      <c r="S95" s="183"/>
      <c r="T95" s="186"/>
      <c r="U95" s="187"/>
      <c r="V95" s="191"/>
      <c r="W95" s="66"/>
      <c r="X95" s="124"/>
      <c r="Y95" s="124"/>
      <c r="Z95" s="124"/>
      <c r="AA95" s="124"/>
      <c r="AB95" s="66"/>
      <c r="AC95" s="68"/>
      <c r="AD95" s="66"/>
      <c r="AE95" s="66"/>
      <c r="AF95" s="66"/>
      <c r="AG95" s="66"/>
      <c r="AH95" s="67"/>
      <c r="AI95" s="40"/>
      <c r="AJ95" s="68"/>
      <c r="AK95" s="40"/>
      <c r="AL95" s="40"/>
      <c r="AM95" s="40"/>
      <c r="AN95" s="40"/>
      <c r="AO95" s="40"/>
    </row>
    <row r="96" spans="1:41" ht="14.25" x14ac:dyDescent="0.2">
      <c r="A96" s="9"/>
      <c r="B96" s="80" t="s">
        <v>147</v>
      </c>
      <c r="C96" s="105">
        <f t="shared" si="28"/>
        <v>100</v>
      </c>
      <c r="D96" s="82">
        <f t="shared" si="30"/>
        <v>0</v>
      </c>
      <c r="E96" s="82"/>
      <c r="F96" s="83">
        <f t="shared" si="29"/>
        <v>100</v>
      </c>
      <c r="G96" s="82">
        <f>F95-F96</f>
        <v>0</v>
      </c>
      <c r="H96" s="82"/>
      <c r="I96" s="89">
        <f>C$91*C96+F$91*F96</f>
        <v>100</v>
      </c>
      <c r="J96" s="82">
        <f>C$91*D96+F$91*G96</f>
        <v>0</v>
      </c>
      <c r="K96" s="85">
        <f>SUM(J94:J96)</f>
        <v>0</v>
      </c>
      <c r="L96" s="86">
        <f>C$92*C96+F$92*F96</f>
        <v>100</v>
      </c>
      <c r="M96" s="82">
        <f>C$92*D96+F$92*G96</f>
        <v>0</v>
      </c>
      <c r="N96" s="87">
        <f>SUM(M94:M96)</f>
        <v>0</v>
      </c>
      <c r="O96" s="90">
        <v>0</v>
      </c>
      <c r="P96" s="90">
        <v>16</v>
      </c>
      <c r="Q96" s="184"/>
      <c r="R96" s="9"/>
      <c r="S96" s="185"/>
      <c r="T96" s="186"/>
      <c r="U96" s="187"/>
      <c r="V96" s="191"/>
      <c r="W96" s="66"/>
      <c r="X96" s="124"/>
      <c r="Y96" s="124"/>
      <c r="Z96" s="124"/>
      <c r="AA96" s="124"/>
      <c r="AB96" s="66"/>
      <c r="AC96" s="68"/>
      <c r="AD96" s="66"/>
      <c r="AE96" s="66"/>
      <c r="AF96" s="66"/>
      <c r="AG96" s="66"/>
      <c r="AH96" s="67"/>
      <c r="AI96" s="40"/>
      <c r="AJ96" s="68"/>
      <c r="AK96" s="40"/>
      <c r="AL96" s="40"/>
      <c r="AM96" s="40"/>
      <c r="AN96" s="40"/>
      <c r="AO96" s="40"/>
    </row>
    <row r="97" spans="1:41" ht="14.25" x14ac:dyDescent="0.2">
      <c r="A97" s="9"/>
      <c r="B97" s="88" t="s">
        <v>148</v>
      </c>
      <c r="C97" s="105">
        <f t="shared" si="28"/>
        <v>100</v>
      </c>
      <c r="D97" s="82">
        <f t="shared" si="30"/>
        <v>0</v>
      </c>
      <c r="E97" s="82">
        <f>SUM(D94:D97)</f>
        <v>0</v>
      </c>
      <c r="F97" s="83">
        <f t="shared" si="29"/>
        <v>74</v>
      </c>
      <c r="G97" s="82">
        <f>F96-F97</f>
        <v>26</v>
      </c>
      <c r="H97" s="82">
        <f>SUM(G94:G97)</f>
        <v>26</v>
      </c>
      <c r="I97" s="89">
        <f t="shared" ref="I97:I106" si="31">C$91*C97+F$91*F97</f>
        <v>85.7</v>
      </c>
      <c r="J97" s="82">
        <f t="shared" ref="J97:J106" si="32">C$91*D97+F$91*G97</f>
        <v>14.3</v>
      </c>
      <c r="K97" s="85">
        <f>SUM(J94:J97)</f>
        <v>14.3</v>
      </c>
      <c r="L97" s="86">
        <f t="shared" ref="L97:L106" si="33">C$92*C97+F$92*F97</f>
        <v>85.577545195052338</v>
      </c>
      <c r="M97" s="82">
        <f t="shared" ref="M97:M106" si="34">C$92*D97+F$92*G97</f>
        <v>14.422454804947668</v>
      </c>
      <c r="N97" s="125">
        <f>SUM(M94:M97)</f>
        <v>14.422454804947668</v>
      </c>
      <c r="O97" s="90">
        <v>0</v>
      </c>
      <c r="P97" s="90">
        <v>20</v>
      </c>
      <c r="Q97" s="9"/>
      <c r="R97" s="9"/>
      <c r="S97" s="9"/>
      <c r="T97" s="186"/>
      <c r="U97" s="187"/>
      <c r="V97" s="191"/>
      <c r="W97" s="66"/>
      <c r="X97" s="124"/>
      <c r="Y97" s="124"/>
      <c r="Z97" s="124"/>
      <c r="AA97" s="124"/>
      <c r="AB97" s="66"/>
      <c r="AC97" s="68"/>
      <c r="AD97" s="66"/>
      <c r="AE97" s="66"/>
      <c r="AF97" s="66"/>
      <c r="AG97" s="66"/>
      <c r="AH97" s="67"/>
      <c r="AI97" s="40"/>
      <c r="AJ97" s="68"/>
      <c r="AK97" s="40"/>
      <c r="AL97" s="40"/>
      <c r="AM97" s="40"/>
      <c r="AN97" s="40"/>
      <c r="AO97" s="40"/>
    </row>
    <row r="98" spans="1:41" ht="14.25" x14ac:dyDescent="0.2">
      <c r="A98" s="9"/>
      <c r="B98" s="80" t="s">
        <v>150</v>
      </c>
      <c r="C98" s="105">
        <f t="shared" si="28"/>
        <v>100</v>
      </c>
      <c r="D98" s="82">
        <f t="shared" si="30"/>
        <v>0</v>
      </c>
      <c r="E98" s="82"/>
      <c r="F98" s="83">
        <f t="shared" si="29"/>
        <v>28</v>
      </c>
      <c r="G98" s="82">
        <f t="shared" ref="G98:G99" si="35">F97-F98</f>
        <v>46</v>
      </c>
      <c r="H98" s="82"/>
      <c r="I98" s="89">
        <f t="shared" si="31"/>
        <v>60.400000000000006</v>
      </c>
      <c r="J98" s="82">
        <f t="shared" si="32"/>
        <v>25.3</v>
      </c>
      <c r="K98" s="85">
        <f>SUM(J94:J98)</f>
        <v>39.6</v>
      </c>
      <c r="L98" s="86">
        <f t="shared" si="33"/>
        <v>60.06089438629877</v>
      </c>
      <c r="M98" s="82">
        <f t="shared" si="34"/>
        <v>25.516650808753568</v>
      </c>
      <c r="N98" s="125">
        <f>SUM(M94:M98)</f>
        <v>39.939105613701237</v>
      </c>
      <c r="O98" s="90">
        <v>4</v>
      </c>
      <c r="P98" s="90">
        <v>20</v>
      </c>
      <c r="Q98" s="9"/>
      <c r="R98" s="9"/>
      <c r="S98" s="9"/>
      <c r="T98" s="186"/>
      <c r="U98" s="187"/>
      <c r="V98" s="191"/>
      <c r="W98" s="66"/>
      <c r="X98" s="124"/>
      <c r="Y98" s="124"/>
      <c r="Z98" s="124"/>
      <c r="AA98" s="124"/>
      <c r="AB98" s="66"/>
      <c r="AC98" s="68"/>
      <c r="AD98" s="66"/>
      <c r="AE98" s="66"/>
      <c r="AF98" s="66"/>
      <c r="AG98" s="66"/>
      <c r="AH98" s="67"/>
      <c r="AI98" s="40"/>
      <c r="AJ98" s="68"/>
      <c r="AK98" s="40"/>
      <c r="AL98" s="40"/>
      <c r="AM98" s="40"/>
      <c r="AN98" s="40"/>
      <c r="AO98" s="40"/>
    </row>
    <row r="99" spans="1:41" ht="14.25" x14ac:dyDescent="0.2">
      <c r="A99" s="9"/>
      <c r="B99" s="88" t="s">
        <v>151</v>
      </c>
      <c r="C99" s="105">
        <f t="shared" si="28"/>
        <v>100</v>
      </c>
      <c r="D99" s="82">
        <f t="shared" si="30"/>
        <v>0</v>
      </c>
      <c r="E99" s="82">
        <f>SUM(D94:D99)</f>
        <v>0</v>
      </c>
      <c r="F99" s="83">
        <f t="shared" si="29"/>
        <v>13</v>
      </c>
      <c r="G99" s="82">
        <f t="shared" si="35"/>
        <v>15</v>
      </c>
      <c r="H99" s="82">
        <f>SUM(G94:G99)</f>
        <v>87</v>
      </c>
      <c r="I99" s="89">
        <f t="shared" si="31"/>
        <v>52.15</v>
      </c>
      <c r="J99" s="82">
        <f t="shared" si="32"/>
        <v>8.25</v>
      </c>
      <c r="K99" s="85">
        <f>SUM(J94:J99)</f>
        <v>47.85</v>
      </c>
      <c r="L99" s="86">
        <f t="shared" si="33"/>
        <v>51.740247383444341</v>
      </c>
      <c r="M99" s="82">
        <f t="shared" si="34"/>
        <v>8.3206470028544235</v>
      </c>
      <c r="N99" s="125">
        <f>SUM(M94:M99)</f>
        <v>48.259752616555659</v>
      </c>
      <c r="O99" s="90">
        <v>4</v>
      </c>
      <c r="P99" s="90">
        <v>20</v>
      </c>
      <c r="Q99" s="9"/>
      <c r="R99" s="9"/>
      <c r="S99" s="9"/>
      <c r="T99" s="186"/>
      <c r="U99" s="187"/>
      <c r="V99" s="191"/>
      <c r="W99" s="66"/>
      <c r="X99" s="124"/>
      <c r="Y99" s="124"/>
      <c r="Z99" s="124"/>
      <c r="AA99" s="124"/>
      <c r="AB99" s="66"/>
      <c r="AC99" s="68"/>
      <c r="AD99" s="66"/>
      <c r="AE99" s="66"/>
      <c r="AF99" s="66"/>
      <c r="AG99" s="66"/>
      <c r="AH99" s="67"/>
      <c r="AI99" s="40"/>
      <c r="AJ99" s="68"/>
      <c r="AK99" s="40"/>
      <c r="AL99" s="40"/>
      <c r="AM99" s="40"/>
      <c r="AN99" s="40"/>
      <c r="AO99" s="40"/>
    </row>
    <row r="100" spans="1:41" ht="14.25" x14ac:dyDescent="0.2">
      <c r="A100" s="9"/>
      <c r="B100" s="88" t="s">
        <v>152</v>
      </c>
      <c r="C100" s="105">
        <f t="shared" si="28"/>
        <v>98</v>
      </c>
      <c r="D100" s="82">
        <f t="shared" si="30"/>
        <v>2</v>
      </c>
      <c r="E100" s="82">
        <f>D100</f>
        <v>2</v>
      </c>
      <c r="F100" s="83">
        <f t="shared" si="29"/>
        <v>2</v>
      </c>
      <c r="G100" s="82">
        <f>F99-F100</f>
        <v>11</v>
      </c>
      <c r="H100" s="82">
        <f>SUM(G94:G100)</f>
        <v>98</v>
      </c>
      <c r="I100" s="89">
        <f t="shared" si="31"/>
        <v>45.2</v>
      </c>
      <c r="J100" s="82">
        <f t="shared" si="32"/>
        <v>6.9500000000000011</v>
      </c>
      <c r="K100" s="85">
        <f>SUM(J94:J100)</f>
        <v>54.800000000000004</v>
      </c>
      <c r="L100" s="86">
        <f t="shared" si="33"/>
        <v>44.747859181731691</v>
      </c>
      <c r="M100" s="82">
        <f t="shared" si="34"/>
        <v>6.9923882017126546</v>
      </c>
      <c r="N100" s="125">
        <f>SUM(M94:M100)</f>
        <v>55.252140818268316</v>
      </c>
      <c r="O100" s="90">
        <v>4</v>
      </c>
      <c r="P100" s="90">
        <v>20</v>
      </c>
      <c r="Q100" s="9"/>
      <c r="R100" s="9"/>
      <c r="S100" s="9"/>
      <c r="T100" s="186"/>
      <c r="U100" s="187"/>
      <c r="V100" s="191"/>
      <c r="W100" s="66"/>
      <c r="X100" s="124"/>
      <c r="Y100" s="124"/>
      <c r="Z100" s="124"/>
      <c r="AA100" s="124"/>
      <c r="AB100" s="66"/>
      <c r="AC100" s="68"/>
      <c r="AD100" s="66"/>
      <c r="AE100" s="66"/>
      <c r="AF100" s="66"/>
      <c r="AG100" s="66"/>
      <c r="AH100" s="66"/>
      <c r="AI100" s="40"/>
      <c r="AJ100" s="66"/>
      <c r="AK100" s="40"/>
      <c r="AL100" s="40"/>
      <c r="AM100" s="40"/>
      <c r="AN100" s="40"/>
      <c r="AO100" s="40"/>
    </row>
    <row r="101" spans="1:41" ht="14.25" x14ac:dyDescent="0.2">
      <c r="A101" s="9"/>
      <c r="B101" s="88" t="s">
        <v>153</v>
      </c>
      <c r="C101" s="105">
        <f t="shared" si="28"/>
        <v>83</v>
      </c>
      <c r="D101" s="82">
        <f>C100-C101</f>
        <v>15</v>
      </c>
      <c r="E101" s="82">
        <f>SUM(D100:D101)</f>
        <v>17</v>
      </c>
      <c r="F101" s="83">
        <f t="shared" si="29"/>
        <v>1</v>
      </c>
      <c r="G101" s="82">
        <f t="shared" ref="G101:G105" si="36">F100-F101</f>
        <v>1</v>
      </c>
      <c r="H101" s="82">
        <f>SUM(G94:G101)</f>
        <v>99</v>
      </c>
      <c r="I101" s="89">
        <f t="shared" si="31"/>
        <v>37.9</v>
      </c>
      <c r="J101" s="82">
        <f t="shared" si="32"/>
        <v>7.3</v>
      </c>
      <c r="K101" s="85">
        <f>SUM(J94:J101)</f>
        <v>62.1</v>
      </c>
      <c r="L101" s="86">
        <f t="shared" si="33"/>
        <v>37.513796384395825</v>
      </c>
      <c r="M101" s="82">
        <f t="shared" si="34"/>
        <v>7.2340627973358727</v>
      </c>
      <c r="N101" s="125">
        <f>SUM(M94:M101)</f>
        <v>62.48620361560419</v>
      </c>
      <c r="O101" s="90">
        <v>0</v>
      </c>
      <c r="P101" s="90">
        <v>12</v>
      </c>
      <c r="Q101" s="9"/>
      <c r="R101" s="9"/>
      <c r="S101" s="9"/>
      <c r="T101" s="186"/>
      <c r="U101" s="187"/>
      <c r="V101" s="191"/>
      <c r="W101" s="66"/>
      <c r="X101" s="124"/>
      <c r="Y101" s="124"/>
      <c r="Z101" s="124"/>
      <c r="AA101" s="124"/>
      <c r="AB101" s="66"/>
      <c r="AC101" s="68"/>
      <c r="AD101" s="66"/>
      <c r="AE101" s="66"/>
      <c r="AF101" s="66"/>
      <c r="AG101" s="66"/>
      <c r="AH101" s="66"/>
      <c r="AI101" s="40"/>
      <c r="AJ101" s="66"/>
      <c r="AK101" s="40"/>
      <c r="AL101" s="40"/>
      <c r="AM101" s="40"/>
      <c r="AN101" s="40"/>
      <c r="AO101" s="40"/>
    </row>
    <row r="102" spans="1:41" ht="14.25" x14ac:dyDescent="0.2">
      <c r="A102" s="9"/>
      <c r="B102" s="88" t="s">
        <v>154</v>
      </c>
      <c r="C102" s="105">
        <f t="shared" si="28"/>
        <v>63</v>
      </c>
      <c r="D102" s="82">
        <f t="shared" ref="D102:D106" si="37">C101-C102</f>
        <v>20</v>
      </c>
      <c r="E102" s="82">
        <f>SUM(D100:D102)</f>
        <v>37</v>
      </c>
      <c r="F102" s="83">
        <f t="shared" si="29"/>
        <v>0</v>
      </c>
      <c r="G102" s="82">
        <f t="shared" si="36"/>
        <v>1</v>
      </c>
      <c r="H102" s="82">
        <f>SUM(G94:G102)</f>
        <v>100</v>
      </c>
      <c r="I102" s="89">
        <f t="shared" si="31"/>
        <v>28.35</v>
      </c>
      <c r="J102" s="82">
        <f t="shared" si="32"/>
        <v>9.5500000000000007</v>
      </c>
      <c r="K102" s="85">
        <f>SUM(J94:J102)</f>
        <v>71.650000000000006</v>
      </c>
      <c r="L102" s="86">
        <f t="shared" si="33"/>
        <v>28.053282588011424</v>
      </c>
      <c r="M102" s="82">
        <f t="shared" si="34"/>
        <v>9.4605137963843973</v>
      </c>
      <c r="N102" s="125">
        <f>SUM(M94:M102)</f>
        <v>71.946717411988587</v>
      </c>
      <c r="O102" s="90">
        <v>0</v>
      </c>
      <c r="P102" s="90">
        <v>12</v>
      </c>
      <c r="Q102" s="9"/>
      <c r="R102" s="9"/>
      <c r="S102" s="9"/>
      <c r="T102" s="186"/>
      <c r="U102" s="187"/>
      <c r="V102" s="191"/>
      <c r="W102" s="66"/>
      <c r="X102" s="124"/>
      <c r="Y102" s="124"/>
      <c r="Z102" s="124"/>
      <c r="AA102" s="124"/>
      <c r="AB102" s="66"/>
      <c r="AC102" s="68"/>
      <c r="AD102" s="66"/>
      <c r="AE102" s="66"/>
      <c r="AF102" s="66"/>
      <c r="AG102" s="66"/>
      <c r="AH102" s="66"/>
      <c r="AI102" s="40"/>
      <c r="AJ102" s="66"/>
      <c r="AK102" s="40"/>
      <c r="AL102" s="40"/>
      <c r="AM102" s="40"/>
      <c r="AN102" s="40"/>
      <c r="AO102" s="40"/>
    </row>
    <row r="103" spans="1:41" ht="14.25" x14ac:dyDescent="0.2">
      <c r="A103" s="9"/>
      <c r="B103" s="88" t="s">
        <v>155</v>
      </c>
      <c r="C103" s="105">
        <f t="shared" si="28"/>
        <v>37</v>
      </c>
      <c r="D103" s="82">
        <f t="shared" si="37"/>
        <v>26</v>
      </c>
      <c r="E103" s="82">
        <f>SUM(D100:D103)</f>
        <v>63</v>
      </c>
      <c r="F103" s="83">
        <f t="shared" si="29"/>
        <v>0</v>
      </c>
      <c r="G103" s="82">
        <f t="shared" si="36"/>
        <v>0</v>
      </c>
      <c r="H103" s="82">
        <f>SUM(G94:G103)</f>
        <v>100</v>
      </c>
      <c r="I103" s="89">
        <f t="shared" si="31"/>
        <v>16.650000000000002</v>
      </c>
      <c r="J103" s="82">
        <f t="shared" si="32"/>
        <v>11.700000000000001</v>
      </c>
      <c r="K103" s="85">
        <f>SUM(J94:J103)</f>
        <v>83.350000000000009</v>
      </c>
      <c r="L103" s="86">
        <f t="shared" si="33"/>
        <v>16.47573739295909</v>
      </c>
      <c r="M103" s="82">
        <f t="shared" si="34"/>
        <v>11.577545195052334</v>
      </c>
      <c r="N103" s="125">
        <f>SUM(M94:M103)</f>
        <v>83.524262607040924</v>
      </c>
      <c r="O103" s="90">
        <v>4</v>
      </c>
      <c r="P103" s="90">
        <v>20</v>
      </c>
      <c r="Q103" s="9"/>
      <c r="R103" s="9"/>
      <c r="S103" s="9"/>
      <c r="T103" s="186"/>
      <c r="U103" s="187"/>
      <c r="V103" s="191"/>
      <c r="W103" s="66"/>
      <c r="X103" s="124"/>
      <c r="Y103" s="124"/>
      <c r="Z103" s="124"/>
      <c r="AA103" s="124"/>
      <c r="AB103" s="66"/>
      <c r="AC103" s="68"/>
      <c r="AD103" s="66"/>
      <c r="AE103" s="66"/>
      <c r="AF103" s="66"/>
      <c r="AG103" s="66"/>
      <c r="AH103" s="66"/>
      <c r="AI103" s="40"/>
      <c r="AJ103" s="66"/>
      <c r="AK103" s="40"/>
      <c r="AL103" s="40"/>
      <c r="AM103" s="40"/>
      <c r="AN103" s="40"/>
      <c r="AO103" s="40"/>
    </row>
    <row r="104" spans="1:41" ht="14.25" x14ac:dyDescent="0.2">
      <c r="A104" s="9"/>
      <c r="B104" s="88" t="s">
        <v>156</v>
      </c>
      <c r="C104" s="105">
        <f t="shared" si="28"/>
        <v>11</v>
      </c>
      <c r="D104" s="82">
        <f t="shared" si="37"/>
        <v>26</v>
      </c>
      <c r="E104" s="82">
        <f>SUM(D100:D104)</f>
        <v>89</v>
      </c>
      <c r="F104" s="83">
        <f t="shared" si="29"/>
        <v>0</v>
      </c>
      <c r="G104" s="82">
        <f t="shared" si="36"/>
        <v>0</v>
      </c>
      <c r="H104" s="82">
        <f>SUM(G94:G104)</f>
        <v>100</v>
      </c>
      <c r="I104" s="89">
        <f t="shared" si="31"/>
        <v>4.95</v>
      </c>
      <c r="J104" s="82">
        <f t="shared" si="32"/>
        <v>11.700000000000001</v>
      </c>
      <c r="K104" s="85">
        <f>SUM(J94:J104)</f>
        <v>95.050000000000011</v>
      </c>
      <c r="L104" s="86">
        <f t="shared" si="33"/>
        <v>4.8981921979067566</v>
      </c>
      <c r="M104" s="82">
        <f t="shared" si="34"/>
        <v>11.577545195052334</v>
      </c>
      <c r="N104" s="125">
        <f>SUM(M94:M104)</f>
        <v>95.101807802093262</v>
      </c>
      <c r="O104" s="90">
        <v>4</v>
      </c>
      <c r="P104" s="90">
        <v>20</v>
      </c>
      <c r="Q104" s="9"/>
      <c r="R104" s="9"/>
      <c r="S104" s="9"/>
      <c r="T104" s="186"/>
      <c r="U104" s="187"/>
      <c r="V104" s="191"/>
      <c r="W104" s="66"/>
      <c r="X104" s="124"/>
      <c r="Y104" s="124"/>
      <c r="Z104" s="124"/>
      <c r="AA104" s="124"/>
      <c r="AB104" s="66"/>
      <c r="AC104" s="68"/>
      <c r="AD104" s="66"/>
      <c r="AE104" s="66"/>
      <c r="AF104" s="66"/>
      <c r="AG104" s="66"/>
      <c r="AH104" s="66"/>
      <c r="AI104" s="40"/>
      <c r="AJ104" s="66"/>
      <c r="AK104" s="40"/>
      <c r="AL104" s="40"/>
      <c r="AM104" s="40"/>
      <c r="AN104" s="40"/>
      <c r="AO104" s="40"/>
    </row>
    <row r="105" spans="1:41" ht="14.25" x14ac:dyDescent="0.2">
      <c r="A105" s="9"/>
      <c r="B105" s="88" t="s">
        <v>157</v>
      </c>
      <c r="C105" s="105">
        <f t="shared" si="28"/>
        <v>1</v>
      </c>
      <c r="D105" s="82">
        <f t="shared" si="37"/>
        <v>10</v>
      </c>
      <c r="E105" s="82">
        <f>SUM(D100:D105)</f>
        <v>99</v>
      </c>
      <c r="F105" s="83">
        <f t="shared" si="29"/>
        <v>0</v>
      </c>
      <c r="G105" s="82">
        <f t="shared" si="36"/>
        <v>0</v>
      </c>
      <c r="H105" s="82">
        <f>SUM(G94:G105)</f>
        <v>100</v>
      </c>
      <c r="I105" s="89">
        <f t="shared" si="31"/>
        <v>0.45</v>
      </c>
      <c r="J105" s="82">
        <f t="shared" si="32"/>
        <v>4.5</v>
      </c>
      <c r="K105" s="85">
        <f>SUM(J94:J105)</f>
        <v>99.550000000000011</v>
      </c>
      <c r="L105" s="86">
        <f t="shared" si="33"/>
        <v>0.44529019980970513</v>
      </c>
      <c r="M105" s="82">
        <f t="shared" si="34"/>
        <v>4.452901998097051</v>
      </c>
      <c r="N105" s="125">
        <f>SUM(M94:M105)</f>
        <v>99.554709800190309</v>
      </c>
      <c r="O105" s="90">
        <v>0</v>
      </c>
      <c r="P105" s="90">
        <v>10</v>
      </c>
      <c r="Q105" s="9"/>
      <c r="R105" s="9"/>
      <c r="S105" s="9"/>
      <c r="T105" s="186"/>
      <c r="U105" s="186"/>
      <c r="V105" s="186"/>
      <c r="W105" s="40"/>
      <c r="X105" s="3"/>
      <c r="Y105" s="3"/>
      <c r="Z105" s="3"/>
      <c r="AA105" s="3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</row>
    <row r="106" spans="1:41" ht="14.25" x14ac:dyDescent="0.2">
      <c r="A106" s="9"/>
      <c r="B106" s="91" t="s">
        <v>158</v>
      </c>
      <c r="C106" s="107">
        <f t="shared" si="28"/>
        <v>0.4</v>
      </c>
      <c r="D106" s="93">
        <f t="shared" si="37"/>
        <v>0.6</v>
      </c>
      <c r="E106" s="93"/>
      <c r="F106" s="94">
        <f t="shared" si="29"/>
        <v>0.3</v>
      </c>
      <c r="G106" s="93">
        <f>F105-F106</f>
        <v>-0.3</v>
      </c>
      <c r="H106" s="93"/>
      <c r="I106" s="95">
        <f t="shared" si="31"/>
        <v>0.34500000000000003</v>
      </c>
      <c r="J106" s="93">
        <f t="shared" si="32"/>
        <v>0.10500000000000001</v>
      </c>
      <c r="K106" s="96">
        <f>SUM(J94:J106)</f>
        <v>99.655000000000015</v>
      </c>
      <c r="L106" s="97">
        <f t="shared" si="33"/>
        <v>0.34452901998097052</v>
      </c>
      <c r="M106" s="93">
        <f t="shared" si="34"/>
        <v>0.10076117982873459</v>
      </c>
      <c r="N106" s="98">
        <f>SUM(M94:M106)</f>
        <v>99.655470980019047</v>
      </c>
      <c r="O106" s="90">
        <v>0</v>
      </c>
      <c r="P106" s="90">
        <v>2</v>
      </c>
      <c r="Q106" s="9"/>
      <c r="R106" s="9"/>
      <c r="S106" s="9"/>
      <c r="T106" s="186"/>
      <c r="U106" s="191"/>
      <c r="V106" s="192"/>
      <c r="W106" s="67"/>
      <c r="X106" s="67"/>
      <c r="Y106" s="67"/>
      <c r="Z106" s="68"/>
      <c r="AA106" s="68"/>
      <c r="AB106" s="68"/>
      <c r="AC106" s="68"/>
      <c r="AD106" s="68"/>
      <c r="AE106" s="68"/>
      <c r="AF106" s="40"/>
      <c r="AG106" s="109"/>
      <c r="AH106" s="40"/>
      <c r="AI106" s="40"/>
      <c r="AJ106" s="40"/>
      <c r="AK106" s="40"/>
      <c r="AL106" s="40"/>
      <c r="AM106" s="40"/>
      <c r="AN106" s="40"/>
      <c r="AO106" s="40"/>
    </row>
    <row r="107" spans="1:41" x14ac:dyDescent="0.2">
      <c r="A107" s="9"/>
      <c r="B107" s="9"/>
      <c r="C107" s="112"/>
      <c r="D107" s="112"/>
      <c r="E107" s="112"/>
      <c r="F107" s="116"/>
      <c r="G107" s="112"/>
      <c r="H107" s="113"/>
      <c r="I107" s="119"/>
      <c r="J107" s="9"/>
      <c r="K107" s="15"/>
      <c r="L107" s="9"/>
      <c r="M107" s="9"/>
      <c r="N107" s="9"/>
      <c r="O107" s="9"/>
      <c r="P107" s="9"/>
      <c r="Q107" s="9"/>
      <c r="R107" s="9"/>
      <c r="S107" s="9"/>
      <c r="T107" s="186"/>
      <c r="U107" s="191"/>
      <c r="V107" s="191"/>
      <c r="W107" s="66"/>
      <c r="X107" s="108"/>
      <c r="Y107" s="108"/>
      <c r="Z107" s="68"/>
      <c r="AA107" s="68"/>
      <c r="AB107" s="68"/>
      <c r="AC107" s="68"/>
      <c r="AD107" s="68"/>
      <c r="AE107" s="68"/>
      <c r="AF107" s="40"/>
      <c r="AG107" s="66"/>
      <c r="AH107" s="40"/>
      <c r="AI107" s="40"/>
      <c r="AJ107" s="40"/>
      <c r="AK107" s="40"/>
      <c r="AL107" s="40"/>
      <c r="AM107" s="40"/>
      <c r="AN107" s="40"/>
      <c r="AO107" s="40"/>
    </row>
    <row r="108" spans="1:41" ht="14.25" x14ac:dyDescent="0.2">
      <c r="A108" s="9"/>
      <c r="B108" s="9"/>
      <c r="C108" s="119"/>
      <c r="D108" s="99" t="s">
        <v>105</v>
      </c>
      <c r="E108" s="100">
        <f>SUM(E95,E97,E99,E100,E101,E102,E103,E104,E105)/100</f>
        <v>3.07</v>
      </c>
      <c r="F108" s="116"/>
      <c r="G108" s="99" t="s">
        <v>105</v>
      </c>
      <c r="H108" s="101">
        <f>SUM(H95,H97,H99,H100,H101,H102,H103,H104,H105)/100</f>
        <v>7.1</v>
      </c>
      <c r="I108" s="119"/>
      <c r="J108" s="99" t="s">
        <v>105</v>
      </c>
      <c r="K108" s="102">
        <f>SUM(K95,K97,K99,K100,K101,K102,K103,K104,K105)/100</f>
        <v>5.2865000000000011</v>
      </c>
      <c r="L108" s="9"/>
      <c r="M108" s="9"/>
      <c r="N108" s="9"/>
      <c r="O108" s="9"/>
      <c r="P108" s="9"/>
      <c r="Q108" s="9"/>
      <c r="R108" s="9"/>
      <c r="S108" s="9"/>
      <c r="T108" s="186"/>
      <c r="U108" s="191"/>
      <c r="V108" s="192"/>
      <c r="W108" s="67"/>
      <c r="X108" s="67"/>
      <c r="Y108" s="67"/>
      <c r="Z108" s="67"/>
      <c r="AA108" s="67"/>
      <c r="AB108" s="67"/>
      <c r="AC108" s="68"/>
      <c r="AD108" s="68"/>
      <c r="AE108" s="68"/>
      <c r="AF108" s="40"/>
      <c r="AG108" s="67"/>
      <c r="AH108" s="40"/>
      <c r="AI108" s="40"/>
      <c r="AJ108" s="40"/>
      <c r="AK108" s="40"/>
      <c r="AL108" s="40"/>
      <c r="AM108" s="40"/>
      <c r="AN108" s="40"/>
      <c r="AO108" s="40"/>
    </row>
    <row r="109" spans="1:41" ht="14.25" x14ac:dyDescent="0.2">
      <c r="A109" s="9"/>
      <c r="B109" s="9"/>
      <c r="C109" s="119"/>
      <c r="D109" s="99"/>
      <c r="E109" s="193"/>
      <c r="F109" s="37"/>
      <c r="G109" s="194"/>
      <c r="H109" s="78"/>
      <c r="I109" s="103"/>
      <c r="J109" s="194"/>
      <c r="K109" s="195"/>
      <c r="L109" s="9"/>
      <c r="M109" s="9"/>
      <c r="N109" s="9"/>
      <c r="O109" s="9"/>
      <c r="P109" s="9"/>
      <c r="Q109" s="9"/>
      <c r="R109" s="9"/>
      <c r="S109" s="9"/>
      <c r="T109" s="186"/>
      <c r="U109" s="191"/>
      <c r="V109" s="192"/>
      <c r="W109" s="67"/>
      <c r="X109" s="67"/>
      <c r="Y109" s="67"/>
      <c r="Z109" s="67"/>
      <c r="AA109" s="67"/>
      <c r="AB109" s="67"/>
      <c r="AC109" s="68"/>
      <c r="AD109" s="68"/>
      <c r="AE109" s="68"/>
      <c r="AF109" s="40"/>
      <c r="AG109" s="67"/>
    </row>
    <row r="110" spans="1:41" ht="14.25" x14ac:dyDescent="0.2">
      <c r="A110" s="9"/>
      <c r="B110" s="9"/>
      <c r="C110" s="119"/>
      <c r="D110" s="99"/>
      <c r="E110" s="193"/>
      <c r="F110" s="37"/>
      <c r="G110" s="194"/>
      <c r="H110" s="78"/>
      <c r="I110" s="103"/>
      <c r="J110" s="194"/>
      <c r="K110" s="195"/>
      <c r="L110" s="9"/>
      <c r="M110" s="9"/>
      <c r="N110" s="9"/>
      <c r="O110" s="9"/>
      <c r="P110" s="9"/>
      <c r="Q110" s="9"/>
      <c r="R110" s="9"/>
      <c r="S110" s="9"/>
      <c r="T110" s="186"/>
      <c r="U110" s="191"/>
      <c r="V110" s="192"/>
      <c r="W110" s="67"/>
      <c r="X110" s="67"/>
      <c r="Y110" s="67"/>
      <c r="Z110" s="67"/>
      <c r="AA110" s="67"/>
      <c r="AB110" s="67"/>
      <c r="AC110" s="68"/>
      <c r="AD110" s="68"/>
      <c r="AE110" s="68"/>
      <c r="AF110" s="40"/>
      <c r="AG110" s="67"/>
    </row>
    <row r="111" spans="1:41" ht="14.25" x14ac:dyDescent="0.2">
      <c r="A111" s="9"/>
      <c r="B111" s="9"/>
      <c r="C111" s="119"/>
      <c r="D111" s="99"/>
      <c r="E111" s="193"/>
      <c r="F111" s="37"/>
      <c r="G111" s="194"/>
      <c r="H111" s="78"/>
      <c r="I111" s="103"/>
      <c r="J111" s="194"/>
      <c r="K111" s="195"/>
      <c r="L111" s="9"/>
      <c r="M111" s="9"/>
      <c r="N111" s="9"/>
      <c r="O111" s="9"/>
      <c r="P111" s="9"/>
      <c r="Q111" s="9"/>
      <c r="R111" s="9"/>
      <c r="S111" s="9"/>
      <c r="T111" s="186"/>
      <c r="U111" s="191"/>
      <c r="V111" s="192"/>
      <c r="W111" s="67"/>
      <c r="X111" s="67"/>
      <c r="Y111" s="67"/>
      <c r="Z111" s="67"/>
      <c r="AA111" s="67"/>
      <c r="AB111" s="67"/>
      <c r="AC111" s="68"/>
      <c r="AD111" s="68"/>
      <c r="AE111" s="68"/>
      <c r="AF111" s="40"/>
      <c r="AG111" s="67"/>
    </row>
    <row r="112" spans="1:41" x14ac:dyDescent="0.2">
      <c r="A112" s="9"/>
      <c r="B112" s="196"/>
      <c r="C112" s="197"/>
      <c r="D112" s="119"/>
      <c r="E112" s="119"/>
      <c r="F112" s="119"/>
      <c r="G112" s="119"/>
      <c r="H112" s="119"/>
      <c r="I112" s="11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198"/>
      <c r="U112" s="191"/>
      <c r="V112" s="37"/>
      <c r="W112" s="68"/>
      <c r="X112" s="68"/>
      <c r="Y112" s="67"/>
      <c r="Z112" s="68"/>
      <c r="AA112" s="68"/>
      <c r="AB112" s="68"/>
      <c r="AC112" s="68"/>
      <c r="AD112" s="68"/>
      <c r="AE112" s="68"/>
      <c r="AF112" s="40"/>
      <c r="AG112" s="67"/>
    </row>
    <row r="113" spans="1:33" x14ac:dyDescent="0.2">
      <c r="A113" s="9"/>
      <c r="B113" s="14"/>
      <c r="C113" s="112"/>
      <c r="D113" s="119"/>
      <c r="E113" s="119"/>
      <c r="F113" s="119"/>
      <c r="G113" s="119"/>
      <c r="H113" s="119"/>
      <c r="I113" s="11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198"/>
      <c r="U113" s="191"/>
      <c r="V113" s="192"/>
      <c r="W113" s="67"/>
      <c r="X113" s="67"/>
      <c r="Y113" s="67"/>
      <c r="Z113" s="67"/>
      <c r="AA113" s="67"/>
      <c r="AB113" s="67"/>
      <c r="AC113" s="67"/>
      <c r="AD113" s="67"/>
      <c r="AE113" s="67"/>
      <c r="AF113" s="40"/>
      <c r="AG113" s="67"/>
    </row>
    <row r="114" spans="1:33" x14ac:dyDescent="0.2">
      <c r="A114" s="9"/>
      <c r="B114" s="199"/>
      <c r="C114" s="112"/>
      <c r="D114" s="119"/>
      <c r="E114" s="119"/>
      <c r="F114" s="119"/>
      <c r="G114" s="119"/>
      <c r="H114" s="119"/>
      <c r="I114" s="11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198"/>
      <c r="U114" s="191"/>
      <c r="V114" s="37"/>
      <c r="W114" s="68"/>
      <c r="X114" s="68"/>
      <c r="Y114" s="67"/>
      <c r="Z114" s="68"/>
      <c r="AA114" s="68"/>
      <c r="AB114" s="68"/>
      <c r="AC114" s="68"/>
      <c r="AD114" s="68"/>
      <c r="AE114" s="68"/>
      <c r="AF114" s="40"/>
      <c r="AG114" s="67"/>
    </row>
    <row r="115" spans="1:33" x14ac:dyDescent="0.2">
      <c r="A115" s="9"/>
      <c r="B115" s="9"/>
      <c r="C115" s="119"/>
      <c r="D115" s="119"/>
      <c r="E115" s="119"/>
      <c r="F115" s="119"/>
      <c r="G115" s="119"/>
      <c r="H115" s="119"/>
      <c r="I115" s="11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198"/>
      <c r="U115" s="191"/>
      <c r="V115" s="192"/>
      <c r="W115" s="67"/>
      <c r="X115" s="67"/>
      <c r="Y115" s="67"/>
      <c r="Z115" s="67"/>
      <c r="AA115" s="67"/>
      <c r="AB115" s="67"/>
      <c r="AC115" s="67"/>
      <c r="AD115" s="67"/>
      <c r="AE115" s="67"/>
      <c r="AF115" s="40"/>
      <c r="AG115" s="67"/>
    </row>
    <row r="116" spans="1:33" x14ac:dyDescent="0.2">
      <c r="A116" s="9"/>
      <c r="B116" s="9"/>
      <c r="C116" s="119"/>
      <c r="D116" s="119"/>
      <c r="E116" s="119"/>
      <c r="F116" s="119"/>
      <c r="G116" s="119"/>
      <c r="H116" s="119"/>
      <c r="I116" s="11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191"/>
      <c r="V116" s="37"/>
      <c r="W116" s="68"/>
      <c r="X116" s="67"/>
      <c r="Y116" s="67"/>
      <c r="Z116" s="68"/>
      <c r="AA116" s="67"/>
      <c r="AB116" s="67"/>
      <c r="AC116" s="68"/>
      <c r="AD116" s="68"/>
      <c r="AE116" s="68"/>
      <c r="AF116" s="40"/>
      <c r="AG116" s="68"/>
    </row>
  </sheetData>
  <sheetProtection algorithmName="SHA-512" hashValue="/Fa19luRfw/xesM+Nr6tUSiQBijNSeg8DorPPxrstVUb4502UbKkFjRKX2QolXW1/arwGL8d+n8R0fQu1ndctA==" saltValue="0dl34CppYzL81jnKOn4ZwA==" spinCount="100000" sheet="1" objects="1" scenarios="1" selectLockedCells="1"/>
  <mergeCells count="36">
    <mergeCell ref="O92:P92"/>
    <mergeCell ref="C90:E90"/>
    <mergeCell ref="F90:H90"/>
    <mergeCell ref="I90:K92"/>
    <mergeCell ref="L90:N92"/>
    <mergeCell ref="C91:E91"/>
    <mergeCell ref="F91:H91"/>
    <mergeCell ref="C92:E92"/>
    <mergeCell ref="F92:H92"/>
    <mergeCell ref="F71:H71"/>
    <mergeCell ref="C72:E72"/>
    <mergeCell ref="F72:H72"/>
    <mergeCell ref="O72:P72"/>
    <mergeCell ref="C52:E52"/>
    <mergeCell ref="F52:H52"/>
    <mergeCell ref="O52:P52"/>
    <mergeCell ref="C70:E70"/>
    <mergeCell ref="F70:H70"/>
    <mergeCell ref="I70:K72"/>
    <mergeCell ref="L70:N72"/>
    <mergeCell ref="C71:E71"/>
    <mergeCell ref="O31:P31"/>
    <mergeCell ref="C50:E50"/>
    <mergeCell ref="F50:H50"/>
    <mergeCell ref="I50:K52"/>
    <mergeCell ref="L50:N52"/>
    <mergeCell ref="C51:E51"/>
    <mergeCell ref="F51:H51"/>
    <mergeCell ref="C29:E29"/>
    <mergeCell ref="F29:H29"/>
    <mergeCell ref="I29:K31"/>
    <mergeCell ref="L29:N31"/>
    <mergeCell ref="C30:E30"/>
    <mergeCell ref="F30:H30"/>
    <mergeCell ref="C31:E31"/>
    <mergeCell ref="F31:H31"/>
  </mergeCells>
  <pageMargins left="0" right="0" top="0.39369969378827646" bottom="0.39369969378827646" header="0" footer="0"/>
  <pageSetup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TRIAL BATCH WORKSHEET</vt:lpstr>
      <vt:lpstr>ITM-226 CCA check</vt:lpstr>
      <vt:lpstr>'TRIAL BATCH WORKSHEET'!Print_Area</vt:lpstr>
    </vt:vector>
  </TitlesOfParts>
  <Company>INDOT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mrharris</dc:creator>
  <cp:lastModifiedBy>Nelson, Mike (INDOT)</cp:lastModifiedBy>
  <cp:lastPrinted>2020-02-21T19:42:30Z</cp:lastPrinted>
  <dcterms:created xsi:type="dcterms:W3CDTF">2005-02-10T20:23:45Z</dcterms:created>
  <dcterms:modified xsi:type="dcterms:W3CDTF">2021-06-07T18:44:18Z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