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Production-Management\Structural Services\Hydraulics\Hydraulic Worksheets\"/>
    </mc:Choice>
  </mc:AlternateContent>
  <bookViews>
    <workbookView xWindow="0" yWindow="0" windowWidth="28800" windowHeight="14820"/>
  </bookViews>
  <sheets>
    <sheet name="Instructions" sheetId="1" r:id="rId1"/>
    <sheet name="Input_Results" sheetId="2" r:id="rId2"/>
    <sheet name="Detailed Comps" sheetId="3" r:id="rId3"/>
    <sheet name="Tables" sheetId="4" r:id="rId4"/>
  </sheets>
  <definedNames>
    <definedName name="AlBox">Tables!$BL$8:$BO$69</definedName>
    <definedName name="ArchTop">Tables!$AZ$10:$BC$19</definedName>
    <definedName name="CMP">Tables!$B$9:$E$36</definedName>
    <definedName name="CMPA_Big">Tables!$I$30:$M$42</definedName>
    <definedName name="CMPA_Small">Tables!$I$9:$M$21</definedName>
    <definedName name="FlatTop">Tables!$BF$9:$BJ$32</definedName>
    <definedName name="HERCP">Tables!$Z$11:$AD$34</definedName>
    <definedName name="Plastic">Tables!$AO$10:$AR$30</definedName>
    <definedName name="RCB">Tables!$AT$10:$AW$31</definedName>
    <definedName name="RCP">Tables!$S$11:$V$38</definedName>
    <definedName name="SemiSmooth">Tables!$AH$11:$AK$30</definedName>
    <definedName name="Sump">Tables!$L$50:$N$52</definedName>
  </definedNames>
  <calcPr calcId="152511"/>
</workbook>
</file>

<file path=xl/calcChain.xml><?xml version="1.0" encoding="utf-8"?>
<calcChain xmlns="http://schemas.openxmlformats.org/spreadsheetml/2006/main">
  <c r="BO10" i="4" l="1"/>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O62" i="4"/>
  <c r="BO63" i="4"/>
  <c r="BO64" i="4"/>
  <c r="BO65" i="4"/>
  <c r="BO66" i="4"/>
  <c r="BO67" i="4"/>
  <c r="BO68" i="4"/>
  <c r="BO69" i="4"/>
  <c r="BO9" i="4"/>
  <c r="BN10" i="4"/>
  <c r="BN11" i="4"/>
  <c r="BN12" i="4"/>
  <c r="BN13" i="4"/>
  <c r="BN14" i="4"/>
  <c r="BN15" i="4"/>
  <c r="BN16" i="4"/>
  <c r="BN17" i="4"/>
  <c r="BN18" i="4"/>
  <c r="BN19" i="4"/>
  <c r="BN20" i="4"/>
  <c r="BN21" i="4"/>
  <c r="BN22" i="4"/>
  <c r="BN23" i="4"/>
  <c r="BN24" i="4"/>
  <c r="BN25" i="4"/>
  <c r="BN26" i="4"/>
  <c r="BN27" i="4"/>
  <c r="BN28" i="4"/>
  <c r="BN29" i="4"/>
  <c r="BN30" i="4"/>
  <c r="BN31" i="4"/>
  <c r="BN32" i="4"/>
  <c r="BN33" i="4"/>
  <c r="BN34" i="4"/>
  <c r="BN35" i="4"/>
  <c r="BN36" i="4"/>
  <c r="BN37" i="4"/>
  <c r="BN38" i="4"/>
  <c r="BN39" i="4"/>
  <c r="BN40" i="4"/>
  <c r="BN41" i="4"/>
  <c r="BN42" i="4"/>
  <c r="BN43" i="4"/>
  <c r="BN44" i="4"/>
  <c r="BN45" i="4"/>
  <c r="BN46" i="4"/>
  <c r="BN47" i="4"/>
  <c r="BN48" i="4"/>
  <c r="BN49" i="4"/>
  <c r="BN50" i="4"/>
  <c r="BN51" i="4"/>
  <c r="BN52" i="4"/>
  <c r="BN53" i="4"/>
  <c r="BN54" i="4"/>
  <c r="BN55" i="4"/>
  <c r="BN56" i="4"/>
  <c r="BN57" i="4"/>
  <c r="BN58" i="4"/>
  <c r="BN59" i="4"/>
  <c r="BN60" i="4"/>
  <c r="BN61" i="4"/>
  <c r="BN62" i="4"/>
  <c r="BN63" i="4"/>
  <c r="BN64" i="4"/>
  <c r="BN65" i="4"/>
  <c r="BN66" i="4"/>
  <c r="BN67" i="4"/>
  <c r="BN68" i="4"/>
  <c r="BN69" i="4"/>
  <c r="BN9" i="4"/>
  <c r="G50" i="2"/>
  <c r="D21" i="3" s="1"/>
  <c r="J50" i="2" s="1"/>
  <c r="L41" i="2"/>
  <c r="BL172" i="4"/>
  <c r="BL168" i="4"/>
  <c r="BL162" i="4"/>
  <c r="BL153" i="4"/>
  <c r="BL142" i="4"/>
  <c r="BL130" i="4"/>
  <c r="BL173" i="4"/>
  <c r="BL170" i="4"/>
  <c r="BL165" i="4"/>
  <c r="BL157" i="4"/>
  <c r="BL148" i="4"/>
  <c r="BL135" i="4"/>
  <c r="BL123" i="4"/>
  <c r="BL171" i="4"/>
  <c r="BL167" i="4"/>
  <c r="BL161" i="4"/>
  <c r="BL152" i="4"/>
  <c r="BL141" i="4"/>
  <c r="BL128" i="4"/>
  <c r="BL169" i="4"/>
  <c r="BL116" i="4"/>
  <c r="BL164" i="4"/>
  <c r="BL156" i="4"/>
  <c r="BL146" i="4"/>
  <c r="BL134" i="4"/>
  <c r="BL166" i="4"/>
  <c r="BL121" i="4"/>
  <c r="BL160" i="4"/>
  <c r="BL110" i="4"/>
  <c r="BL151" i="4"/>
  <c r="BL139" i="4"/>
  <c r="BL163" i="4"/>
  <c r="BL127" i="4"/>
  <c r="BL155" i="4"/>
  <c r="BL114" i="4"/>
  <c r="BL145" i="4"/>
  <c r="BL104" i="4"/>
  <c r="BL159" i="4"/>
  <c r="BL133" i="4"/>
  <c r="BL150" i="4"/>
  <c r="BL120" i="4"/>
  <c r="BL109" i="4"/>
  <c r="BL140" i="4"/>
  <c r="BL100" i="4"/>
  <c r="BL126" i="4"/>
  <c r="BL115" i="4"/>
  <c r="BL106" i="4"/>
  <c r="BL97" i="4"/>
  <c r="BL158" i="4"/>
  <c r="BL149" i="4"/>
  <c r="BL137" i="4"/>
  <c r="BL124" i="4"/>
  <c r="BL112" i="4"/>
  <c r="BL102" i="4"/>
  <c r="BL94" i="4"/>
  <c r="BL154" i="4"/>
  <c r="BL144" i="4"/>
  <c r="BL132" i="4"/>
  <c r="BL119" i="4"/>
  <c r="BL108" i="4"/>
  <c r="BL99" i="4"/>
  <c r="BL92" i="4"/>
  <c r="BL129" i="4"/>
  <c r="BL117" i="4"/>
  <c r="BL105" i="4"/>
  <c r="BL96" i="4"/>
  <c r="BL138" i="4"/>
  <c r="BL90" i="4"/>
  <c r="BL125" i="4"/>
  <c r="BL113" i="4"/>
  <c r="BL147" i="4"/>
  <c r="BL103" i="4"/>
  <c r="BL136" i="4"/>
  <c r="BL95" i="4"/>
  <c r="BL122" i="4"/>
  <c r="BL89" i="4"/>
  <c r="BL111" i="4"/>
  <c r="BL143" i="4"/>
  <c r="BL101" i="4"/>
  <c r="BL131" i="4"/>
  <c r="BL93" i="4"/>
  <c r="BL118" i="4"/>
  <c r="BL88" i="4"/>
  <c r="BL107" i="4"/>
  <c r="BL98" i="4"/>
  <c r="BL91" i="4"/>
  <c r="BL87" i="4"/>
  <c r="BM172" i="4"/>
  <c r="BM168" i="4"/>
  <c r="BM162" i="4"/>
  <c r="BM153" i="4"/>
  <c r="BM142" i="4"/>
  <c r="BM130" i="4"/>
  <c r="BM173" i="4"/>
  <c r="BM170" i="4"/>
  <c r="BM165" i="4"/>
  <c r="BM157" i="4"/>
  <c r="BM148" i="4"/>
  <c r="BM135" i="4"/>
  <c r="BM123" i="4"/>
  <c r="BM171" i="4"/>
  <c r="BM167" i="4"/>
  <c r="BM161" i="4"/>
  <c r="BM152" i="4"/>
  <c r="BM141" i="4"/>
  <c r="BM128" i="4"/>
  <c r="BM116" i="4"/>
  <c r="BM169" i="4"/>
  <c r="BM164" i="4"/>
  <c r="BM156" i="4"/>
  <c r="BM146" i="4"/>
  <c r="BM134" i="4"/>
  <c r="BM121" i="4"/>
  <c r="BM110" i="4"/>
  <c r="BM166" i="4"/>
  <c r="BM160" i="4"/>
  <c r="BM151" i="4"/>
  <c r="BM139" i="4"/>
  <c r="BM127" i="4"/>
  <c r="BM114" i="4"/>
  <c r="BM104" i="4"/>
  <c r="BM163" i="4"/>
  <c r="BM155" i="4"/>
  <c r="BM145" i="4"/>
  <c r="BM133" i="4"/>
  <c r="BM120" i="4"/>
  <c r="BM109" i="4"/>
  <c r="BM100" i="4"/>
  <c r="BM159" i="4"/>
  <c r="BM150" i="4"/>
  <c r="BM140" i="4"/>
  <c r="BM126" i="4"/>
  <c r="BM115" i="4"/>
  <c r="BM106" i="4"/>
  <c r="BM97" i="4"/>
  <c r="BM158" i="4"/>
  <c r="BM149" i="4"/>
  <c r="BM137" i="4"/>
  <c r="BM124" i="4"/>
  <c r="BM112" i="4"/>
  <c r="BM102" i="4"/>
  <c r="BM94" i="4"/>
  <c r="BM154" i="4"/>
  <c r="BM144" i="4"/>
  <c r="BM132" i="4"/>
  <c r="BM119" i="4"/>
  <c r="BM108" i="4"/>
  <c r="BM99" i="4"/>
  <c r="BM92" i="4"/>
  <c r="BM129" i="4"/>
  <c r="BM117" i="4"/>
  <c r="BM105" i="4"/>
  <c r="BM96" i="4"/>
  <c r="BM90" i="4"/>
  <c r="BM138" i="4"/>
  <c r="BM125" i="4"/>
  <c r="BM113" i="4"/>
  <c r="BM103" i="4"/>
  <c r="BM95" i="4"/>
  <c r="BM89" i="4"/>
  <c r="BM147" i="4"/>
  <c r="BM136" i="4"/>
  <c r="BM122" i="4"/>
  <c r="BM111" i="4"/>
  <c r="BM101" i="4"/>
  <c r="BM93" i="4"/>
  <c r="BM88" i="4"/>
  <c r="BM143" i="4"/>
  <c r="BM131" i="4"/>
  <c r="BM118" i="4"/>
  <c r="BM107" i="4"/>
  <c r="BM98" i="4"/>
  <c r="BM91" i="4"/>
  <c r="BM87" i="4"/>
  <c r="D20" i="3" l="1"/>
  <c r="E32" i="3" s="1"/>
  <c r="F32" i="3" s="1"/>
  <c r="K41" i="2"/>
  <c r="J41" i="2"/>
  <c r="H41" i="2"/>
  <c r="E30" i="3"/>
  <c r="F30" i="3" s="1"/>
  <c r="G41" i="2"/>
  <c r="E31" i="3"/>
  <c r="F31" i="3" s="1"/>
  <c r="K42" i="2"/>
  <c r="J42" i="2"/>
  <c r="H42" i="2"/>
  <c r="G42" i="2"/>
  <c r="E29" i="3"/>
  <c r="F29" i="3" s="1"/>
  <c r="K40" i="2"/>
  <c r="J40" i="2"/>
  <c r="H40" i="2"/>
  <c r="G40" i="2"/>
  <c r="F23" i="3"/>
  <c r="G30" i="2"/>
  <c r="D15" i="3" s="1"/>
  <c r="H30" i="2" s="1"/>
  <c r="I42" i="4"/>
  <c r="I41" i="4"/>
  <c r="I40" i="4"/>
  <c r="I39" i="4"/>
  <c r="I38" i="4"/>
  <c r="I37" i="4"/>
  <c r="I36" i="4"/>
  <c r="I35" i="4"/>
  <c r="I34" i="4"/>
  <c r="I33" i="4"/>
  <c r="I32" i="4"/>
  <c r="I31" i="4"/>
  <c r="J187" i="4"/>
  <c r="J186" i="4"/>
  <c r="J185" i="4"/>
  <c r="J184" i="4"/>
  <c r="J183" i="4"/>
  <c r="J182" i="4"/>
  <c r="J181" i="4"/>
  <c r="J180" i="4"/>
  <c r="J179" i="4"/>
  <c r="J178" i="4"/>
  <c r="J177" i="4"/>
  <c r="J176" i="4"/>
  <c r="I21" i="4"/>
  <c r="I20" i="4"/>
  <c r="I19" i="4"/>
  <c r="I18" i="4"/>
  <c r="I17" i="4"/>
  <c r="I16" i="4"/>
  <c r="I15" i="4"/>
  <c r="I14" i="4"/>
  <c r="I13" i="4"/>
  <c r="I12" i="4"/>
  <c r="I11" i="4"/>
  <c r="I10" i="4"/>
  <c r="J89" i="4"/>
  <c r="Z114" i="4"/>
  <c r="Z113" i="4"/>
  <c r="Z112" i="4"/>
  <c r="Z111" i="4"/>
  <c r="Z110" i="4"/>
  <c r="Z109" i="4"/>
  <c r="Z108" i="4"/>
  <c r="Z107" i="4"/>
  <c r="Z106" i="4"/>
  <c r="Z34" i="4"/>
  <c r="Z33" i="4"/>
  <c r="Z32" i="4"/>
  <c r="Z31" i="4"/>
  <c r="Z30" i="4"/>
  <c r="Z29" i="4"/>
  <c r="Z28" i="4"/>
  <c r="Z27" i="4"/>
  <c r="Z26" i="4"/>
  <c r="Z25" i="4"/>
  <c r="Z24" i="4"/>
  <c r="Z23" i="4"/>
  <c r="Z22" i="4"/>
  <c r="Z21" i="4"/>
  <c r="Z20" i="4"/>
  <c r="Z19" i="4"/>
  <c r="Z18" i="4"/>
  <c r="Z17" i="4"/>
  <c r="Z16" i="4"/>
  <c r="Z15" i="4"/>
  <c r="Z14" i="4"/>
  <c r="Z13" i="4"/>
  <c r="Z12"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0" i="4"/>
  <c r="S109" i="4"/>
  <c r="S108" i="4"/>
  <c r="S107" i="4"/>
  <c r="U106" i="4"/>
  <c r="S106" i="4" s="1"/>
  <c r="S105" i="4"/>
  <c r="S104" i="4"/>
  <c r="U103" i="4"/>
  <c r="S103" i="4" s="1"/>
  <c r="S102" i="4"/>
  <c r="AH30" i="4"/>
  <c r="AH29" i="4"/>
  <c r="AH28" i="4"/>
  <c r="AH27" i="4"/>
  <c r="AH26" i="4"/>
  <c r="AH25" i="4"/>
  <c r="AH24" i="4"/>
  <c r="AH23" i="4"/>
  <c r="AH22" i="4"/>
  <c r="AH21" i="4"/>
  <c r="AH20" i="4"/>
  <c r="AH19" i="4"/>
  <c r="AH18" i="4"/>
  <c r="AH17" i="4"/>
  <c r="AH16" i="4"/>
  <c r="AH15" i="4"/>
  <c r="AH14" i="4"/>
  <c r="AH13" i="4"/>
  <c r="AH12" i="4"/>
  <c r="J161" i="4"/>
  <c r="J160" i="4"/>
  <c r="J159" i="4"/>
  <c r="J158" i="4"/>
  <c r="J157" i="4"/>
  <c r="J156" i="4"/>
  <c r="J155" i="4"/>
  <c r="J154" i="4"/>
  <c r="J153" i="4"/>
  <c r="J152" i="4"/>
  <c r="J151" i="4"/>
  <c r="J150" i="4"/>
  <c r="J140" i="4"/>
  <c r="J139" i="4"/>
  <c r="J138" i="4"/>
  <c r="J137" i="4"/>
  <c r="J136" i="4"/>
  <c r="J135" i="4"/>
  <c r="J134" i="4"/>
  <c r="J133" i="4"/>
  <c r="J132" i="4"/>
  <c r="J131" i="4"/>
  <c r="J130" i="4"/>
  <c r="J129" i="4"/>
  <c r="J119" i="4"/>
  <c r="J118" i="4"/>
  <c r="J117" i="4"/>
  <c r="J116" i="4"/>
  <c r="J115" i="4"/>
  <c r="J114" i="4"/>
  <c r="J113" i="4"/>
  <c r="J112" i="4"/>
  <c r="J111" i="4"/>
  <c r="J110" i="4"/>
  <c r="J100" i="4"/>
  <c r="J99" i="4"/>
  <c r="J98" i="4"/>
  <c r="J97" i="4"/>
  <c r="J96" i="4"/>
  <c r="J95" i="4"/>
  <c r="J94" i="4"/>
  <c r="J93" i="4"/>
  <c r="J92" i="4"/>
  <c r="J91" i="4"/>
  <c r="J90" i="4"/>
  <c r="J79" i="4"/>
  <c r="J78" i="4"/>
  <c r="J77" i="4"/>
  <c r="J76" i="4"/>
  <c r="J75" i="4"/>
  <c r="J74" i="4"/>
  <c r="J73" i="4"/>
  <c r="J72" i="4"/>
  <c r="B336" i="4"/>
  <c r="B335" i="4"/>
  <c r="B334" i="4"/>
  <c r="B333" i="4"/>
  <c r="B332" i="4"/>
  <c r="B331" i="4"/>
  <c r="B330" i="4"/>
  <c r="B329" i="4"/>
  <c r="B328" i="4"/>
  <c r="B327" i="4"/>
  <c r="B326" i="4"/>
  <c r="B325" i="4"/>
  <c r="B324" i="4"/>
  <c r="B323" i="4"/>
  <c r="B322" i="4"/>
  <c r="B321" i="4"/>
  <c r="B320" i="4"/>
  <c r="B319" i="4"/>
  <c r="B318" i="4"/>
  <c r="B308" i="4"/>
  <c r="B307" i="4"/>
  <c r="B306" i="4"/>
  <c r="B305" i="4"/>
  <c r="B304" i="4"/>
  <c r="B303" i="4"/>
  <c r="B302" i="4"/>
  <c r="B301" i="4"/>
  <c r="B300" i="4"/>
  <c r="B299" i="4"/>
  <c r="B298" i="4"/>
  <c r="B297" i="4"/>
  <c r="B287" i="4"/>
  <c r="B286" i="4"/>
  <c r="B285" i="4"/>
  <c r="B284" i="4"/>
  <c r="B283" i="4"/>
  <c r="B282" i="4"/>
  <c r="B281" i="4"/>
  <c r="B280" i="4"/>
  <c r="B279" i="4"/>
  <c r="B278" i="4"/>
  <c r="B277" i="4"/>
  <c r="B276" i="4"/>
  <c r="B266" i="4"/>
  <c r="B265" i="4"/>
  <c r="B264" i="4"/>
  <c r="B263" i="4"/>
  <c r="B262" i="4"/>
  <c r="B261" i="4"/>
  <c r="B260" i="4"/>
  <c r="B259" i="4"/>
  <c r="B258" i="4"/>
  <c r="B257" i="4"/>
  <c r="B256" i="4"/>
  <c r="B255" i="4"/>
  <c r="B254" i="4"/>
  <c r="B253" i="4"/>
  <c r="B252" i="4"/>
  <c r="B251" i="4"/>
  <c r="B250" i="4"/>
  <c r="B249" i="4"/>
  <c r="B248" i="4"/>
  <c r="G29" i="2"/>
  <c r="D14" i="3" s="1"/>
  <c r="G28" i="2"/>
  <c r="D13" i="3" s="1"/>
  <c r="G27" i="2"/>
  <c r="D12" i="3" s="1"/>
  <c r="G26" i="2"/>
  <c r="D11" i="3" s="1"/>
  <c r="H26" i="2" s="1"/>
  <c r="G25" i="2"/>
  <c r="D10" i="3" s="1"/>
  <c r="J25" i="2" s="1"/>
  <c r="G24" i="2"/>
  <c r="D9" i="3" s="1"/>
  <c r="B110" i="4"/>
  <c r="B109" i="4"/>
  <c r="B108" i="4"/>
  <c r="B107" i="4"/>
  <c r="B106" i="4"/>
  <c r="B105" i="4"/>
  <c r="B104" i="4"/>
  <c r="B103" i="4"/>
  <c r="B102" i="4"/>
  <c r="B101" i="4"/>
  <c r="B100" i="4"/>
  <c r="B99" i="4"/>
  <c r="B98" i="4"/>
  <c r="B97" i="4"/>
  <c r="B96" i="4"/>
  <c r="B86" i="4"/>
  <c r="B85" i="4"/>
  <c r="B84" i="4"/>
  <c r="B83" i="4"/>
  <c r="B82" i="4"/>
  <c r="B81" i="4"/>
  <c r="B80" i="4"/>
  <c r="B79" i="4"/>
  <c r="B78" i="4"/>
  <c r="B77" i="4"/>
  <c r="B76" i="4"/>
  <c r="B75" i="4"/>
  <c r="B74" i="4"/>
  <c r="B73" i="4"/>
  <c r="B72" i="4"/>
  <c r="I50" i="2" l="1"/>
  <c r="M50" i="2" s="1"/>
  <c r="H50" i="2"/>
  <c r="I29" i="2"/>
  <c r="K29" i="2" s="1"/>
  <c r="E14" i="3" s="1"/>
  <c r="F14" i="3" s="1"/>
  <c r="M29" i="2" s="1"/>
  <c r="H28" i="2"/>
  <c r="H25" i="2"/>
  <c r="I30" i="2"/>
  <c r="K30" i="2" s="1"/>
  <c r="E15" i="3" s="1"/>
  <c r="F15" i="3" s="1"/>
  <c r="M30" i="2" s="1"/>
  <c r="H27" i="2"/>
  <c r="I28" i="2"/>
  <c r="K28" i="2" s="1"/>
  <c r="I25" i="2"/>
  <c r="K25" i="2" s="1"/>
  <c r="I26" i="2"/>
  <c r="K26" i="2" s="1"/>
  <c r="J28" i="2"/>
  <c r="H29" i="2"/>
  <c r="I27" i="2"/>
  <c r="K27" i="2" s="1"/>
  <c r="E12" i="3" s="1"/>
  <c r="F12" i="3" s="1"/>
  <c r="M27" i="2" s="1"/>
  <c r="J26" i="2"/>
  <c r="I40" i="2"/>
  <c r="M40" i="2" s="1"/>
  <c r="I41" i="2"/>
  <c r="M41" i="2" s="1"/>
  <c r="I42" i="2"/>
  <c r="M42" i="2" s="1"/>
  <c r="I24" i="2"/>
  <c r="H24" i="2"/>
  <c r="L28" i="2" l="1"/>
  <c r="E13" i="3" s="1"/>
  <c r="F13" i="3" s="1"/>
  <c r="M28" i="2" s="1"/>
  <c r="L25" i="2"/>
  <c r="E10" i="3" s="1"/>
  <c r="F10" i="3" s="1"/>
  <c r="M25" i="2" s="1"/>
  <c r="L26" i="2"/>
  <c r="E11" i="3" s="1"/>
  <c r="F11" i="3" s="1"/>
  <c r="M26" i="2" s="1"/>
  <c r="K24" i="2"/>
  <c r="E9" i="3" s="1"/>
  <c r="F9" i="3" s="1"/>
  <c r="M24" i="2" s="1"/>
</calcChain>
</file>

<file path=xl/sharedStrings.xml><?xml version="1.0" encoding="utf-8"?>
<sst xmlns="http://schemas.openxmlformats.org/spreadsheetml/2006/main" count="1141" uniqueCount="397">
  <si>
    <t>This spreadsheet is intended to reflect the minimum height of cover information in the standard drawings</t>
  </si>
  <si>
    <t>E 715-PHCL series.  Maximum cover is hardly ever an issue so it is not addressed.</t>
  </si>
  <si>
    <t>To find the largest available pipe size by category, this spreadsheet uses two parameters:</t>
  </si>
  <si>
    <t xml:space="preserve">1. </t>
  </si>
  <si>
    <t>The "pavement height" is the difference between the bottom of the pavement (as described</t>
  </si>
  <si>
    <t>below) and the culvert invert elevation.  The invert elevation is the higher of the inlet or the</t>
  </si>
  <si>
    <t>outlet.  If the culvert is sumped, it is the actual invert, not the higher dirt level.</t>
  </si>
  <si>
    <t xml:space="preserve">2. </t>
  </si>
  <si>
    <t>The "pipe profile height" is a combination of the pipe rise, wall thickness and minimum cover</t>
  </si>
  <si>
    <t>value.</t>
  </si>
  <si>
    <t>These two parameters are compared to determine the highest rise that will fit into the setting.</t>
  </si>
  <si>
    <t>The "bottom of the pavement" is determined differently, depending on the type of pavement.</t>
  </si>
  <si>
    <t>For concrete pavement, the layer of #8 stone under the PCCP is part of the pavement depth, but</t>
  </si>
  <si>
    <t>the layer of #53 stone below the #8's is considered part of the cover.  For asphalt pavement, the</t>
  </si>
  <si>
    <t>bottom of the pavement is the HMA base or layer of aggregate.  This is the third layer in a typical</t>
  </si>
  <si>
    <t>asphalt pavement section.</t>
  </si>
  <si>
    <t>Spreadsheet Background</t>
  </si>
  <si>
    <t>Guidance from INDOT's Pavement Design group for this is as follows:</t>
  </si>
  <si>
    <t>a.)  low volume roads - 10 inches</t>
  </si>
  <si>
    <t>c.)  interstates - 15 inches</t>
  </si>
  <si>
    <t>ALLOWABLE RISE COMPUTATIONS FOR MINIMUM COVER</t>
  </si>
  <si>
    <t xml:space="preserve">Route:  </t>
  </si>
  <si>
    <t xml:space="preserve">Str. Number:  </t>
  </si>
  <si>
    <t xml:space="preserve">Des. Number:  </t>
  </si>
  <si>
    <t xml:space="preserve">Designed by:  </t>
  </si>
  <si>
    <t xml:space="preserve">Checked by:  </t>
  </si>
  <si>
    <t xml:space="preserve">Date:  </t>
  </si>
  <si>
    <t xml:space="preserve">Pavement Thickness:  </t>
  </si>
  <si>
    <t xml:space="preserve">Elev. At Edge Shoulder:  </t>
  </si>
  <si>
    <t>feet</t>
  </si>
  <si>
    <t>See "Instructions" tab for information</t>
  </si>
  <si>
    <t>on how to enter this data.</t>
  </si>
  <si>
    <t>Site Conditions Data Entry</t>
  </si>
  <si>
    <t xml:space="preserve">Channel flow line elev:  </t>
  </si>
  <si>
    <t>Analysis</t>
  </si>
  <si>
    <t>Structure Type</t>
  </si>
  <si>
    <t xml:space="preserve">Corrugated Round  </t>
  </si>
  <si>
    <t xml:space="preserve">Semi-Smooth Round  </t>
  </si>
  <si>
    <t xml:space="preserve">Concrete Round  </t>
  </si>
  <si>
    <t xml:space="preserve">Concrete Deformed  </t>
  </si>
  <si>
    <t xml:space="preserve">Plastic Round  </t>
  </si>
  <si>
    <t xml:space="preserve">Reinforced Box (4 sided)  </t>
  </si>
  <si>
    <t xml:space="preserve">Aluminum Box  </t>
  </si>
  <si>
    <t xml:space="preserve">3-Sided Flat Top  </t>
  </si>
  <si>
    <t xml:space="preserve">3-Sided Arch Top  </t>
  </si>
  <si>
    <t>Data Entry</t>
  </si>
  <si>
    <t>Sump</t>
  </si>
  <si>
    <t>Depth</t>
  </si>
  <si>
    <t>(inches)</t>
  </si>
  <si>
    <t>Span</t>
  </si>
  <si>
    <t>Results</t>
  </si>
  <si>
    <t>Invert</t>
  </si>
  <si>
    <t>Elevation</t>
  </si>
  <si>
    <t>(feet)</t>
  </si>
  <si>
    <t>Rise</t>
  </si>
  <si>
    <t>inches</t>
  </si>
  <si>
    <t>Max</t>
  </si>
  <si>
    <t>"PIPE PROFILE HEIGHT" TABLES</t>
  </si>
  <si>
    <t>2 2/3" x 1/2" CORRUGATED ALUMINUM ALLOY PIPE (LOCK SEAM)</t>
  </si>
  <si>
    <t>2 2/3" x 1/2" CORRUGATED STEEL PIPE (LOCK SEAM)</t>
  </si>
  <si>
    <t>Wall</t>
  </si>
  <si>
    <t>Min.</t>
  </si>
  <si>
    <t>Pipe profile</t>
  </si>
  <si>
    <t>Diameter</t>
  </si>
  <si>
    <t>Thickness</t>
  </si>
  <si>
    <t>Cover</t>
  </si>
  <si>
    <t>Height</t>
  </si>
  <si>
    <t>n/a</t>
  </si>
  <si>
    <t>test</t>
  </si>
  <si>
    <t>20 (1)</t>
  </si>
  <si>
    <t>20 (2)</t>
  </si>
  <si>
    <t>22 (1)</t>
  </si>
  <si>
    <t>22 (2)</t>
  </si>
  <si>
    <t>22 (3)</t>
  </si>
  <si>
    <t>PIPE CATEGORY:</t>
  </si>
  <si>
    <t>2 2/3" x 1/2" CORRUGATED ALUMINUM ALLOY PIPE (RIVETED)</t>
  </si>
  <si>
    <t>2 2/3" x 1/2" CORRUGATED STEEL PIPE (RIVETED)</t>
  </si>
  <si>
    <t>3" x 1" CORRUGATED ALUMINUM ALLOY PIPE (LOCK SEAM)</t>
  </si>
  <si>
    <t>3" x 1" CORRUGATED STEEL PIPE (LOCK SEAM)</t>
  </si>
  <si>
    <t>3" x 1" CORRUGATED ALUMINUM ALLOY PIPE (RIVETED)</t>
  </si>
  <si>
    <t>3" x 1" CORRUGATED STEEL PIPE (RIVETED)</t>
  </si>
  <si>
    <t>6" x 1" CORRUGATED ALUMINUM ALLOY PIPE (LOCK SEAM)</t>
  </si>
  <si>
    <t>6" x 1" CORRUGATED ALUMINUM ALLOY PIPE (RIVETED)</t>
  </si>
  <si>
    <t>5" x 1" CORRUGATED STEEL PIPE (LOCK SEAM)</t>
  </si>
  <si>
    <t>3" x 1" CORRUGATED ALUMINUM ALLOY PIPE-ARCH (RIVETED OR LOCK SEAM)</t>
  </si>
  <si>
    <t>3" x 1" CORRUGATED STEEL PIPE-ARCH (RIVETED OR LOCK SEAM)</t>
  </si>
  <si>
    <t>2 2/3" x 1/2" CORRUGATED ALUMINUM ALLOY PIPE-ARCH (RIVETED OR LOCK SEAM)</t>
  </si>
  <si>
    <t>2 2/3" x 1/2" CORRUGATED STEEL PIPE-ARCH (RIVETED OR LOCK SEAM)</t>
  </si>
  <si>
    <t>5" x 1" CORRUGATED STEEL PIPE-ARCH (RIVETED OR LOCK SEAM)</t>
  </si>
  <si>
    <t>3/4" x 3/4" x 7 1/2" SPIRAL RIB STEEL PIPE</t>
  </si>
  <si>
    <t>1.25</t>
  </si>
  <si>
    <t>2.75</t>
  </si>
  <si>
    <t>NON-REINFORCED CONCRETE PIPE</t>
  </si>
  <si>
    <t>REINFORCED CONCRETE CIRCULAR PIPE</t>
  </si>
  <si>
    <t>REINFORCED CONCRETE HORIZONTAL ELLIPTICAL PIPE</t>
  </si>
  <si>
    <t>CORRUGATED POLYETHYLENE PIPE TYPE S</t>
  </si>
  <si>
    <t>Inside</t>
  </si>
  <si>
    <t>(nominal)</t>
  </si>
  <si>
    <t>SMOOTH WALL POLYETHYLENE PIPE</t>
  </si>
  <si>
    <t>21 (1)</t>
  </si>
  <si>
    <t>PROFILE WALL (RIBBED) POLYETHYLENE PIPE</t>
  </si>
  <si>
    <t>21 (2)</t>
  </si>
  <si>
    <t>PROFILE WALL (CLOSED) POLYETHYLENE PIPE</t>
  </si>
  <si>
    <t>PROFILE WALL POLYVINYL CHLORIDE PIPE</t>
  </si>
  <si>
    <t>SMOOTH WALL POLYVINYL CHLORIDE PIPE</t>
  </si>
  <si>
    <t>CORRUGATED POLYPROPYLENE PIPE</t>
  </si>
  <si>
    <t>DETAILED COMPUTATIONS FOR PIPES</t>
  </si>
  <si>
    <t xml:space="preserve">Reminder:  </t>
  </si>
  <si>
    <t>"Profile height" = Rise + wall thickness + minimum cover</t>
  </si>
  <si>
    <t>Available</t>
  </si>
  <si>
    <t>Profile</t>
  </si>
  <si>
    <t>2 2/3" x 1/2" CORRUGATED STEEL PIPE-ARCH</t>
  </si>
  <si>
    <t>3" x 1" or 5" x 1"CORRUGATED STEEL PIPE-ARCH</t>
  </si>
  <si>
    <t>(Don't use the non-reinforced data)</t>
  </si>
  <si>
    <t xml:space="preserve">2 2/3" x 1/2" CMPA  </t>
  </si>
  <si>
    <t xml:space="preserve">3" x 1" or 5" x 1" CMPA  </t>
  </si>
  <si>
    <t>Minimum</t>
  </si>
  <si>
    <t>Req'd</t>
  </si>
  <si>
    <t xml:space="preserve">Soil type:  </t>
  </si>
  <si>
    <t>Soils:</t>
  </si>
  <si>
    <t>Sand</t>
  </si>
  <si>
    <t>Other</t>
  </si>
  <si>
    <t>Rock</t>
  </si>
  <si>
    <t>&lt;4</t>
  </si>
  <si>
    <t>4 &lt; S &lt; 12</t>
  </si>
  <si>
    <t>12 &lt; S &lt;20</t>
  </si>
  <si>
    <t>Sump depth table (inches)</t>
  </si>
  <si>
    <t>See Figure 203-2E in IDM</t>
  </si>
  <si>
    <t>Row #</t>
  </si>
  <si>
    <t>for Sump</t>
  </si>
  <si>
    <t>Table</t>
  </si>
  <si>
    <t xml:space="preserve">Column number for sump table:  </t>
  </si>
  <si>
    <t>Rock/Till</t>
  </si>
  <si>
    <t>Specialty Structures</t>
  </si>
  <si>
    <t>Slab</t>
  </si>
  <si>
    <t>Available Rise</t>
  </si>
  <si>
    <t>Min</t>
  </si>
  <si>
    <t>thickness</t>
  </si>
  <si>
    <t>Specialty:  Reinforced Concrete Box</t>
  </si>
  <si>
    <t>Specialty:  Three-Sided Arch Top</t>
  </si>
  <si>
    <t>Top</t>
  </si>
  <si>
    <t>TriSpan</t>
  </si>
  <si>
    <t>HySpan</t>
  </si>
  <si>
    <t>Specialty:  Three-Sided Flat Top</t>
  </si>
  <si>
    <t>Pipes</t>
  </si>
  <si>
    <t>Notes:</t>
  </si>
  <si>
    <t>How do pipes vs. specialty str's</t>
  </si>
  <si>
    <t>Compare HySpan vs. TriSpan</t>
  </si>
  <si>
    <t>Uses TriS-an where possible because of thicker slab, HySpan might be an option, but need to account for haunch</t>
  </si>
  <si>
    <t>Specialty:  Aluminum Box</t>
  </si>
  <si>
    <t>13-3</t>
  </si>
  <si>
    <t>13-0</t>
  </si>
  <si>
    <t>13-4</t>
  </si>
  <si>
    <t>13-7</t>
  </si>
  <si>
    <t>13-10</t>
  </si>
  <si>
    <t>14-1</t>
  </si>
  <si>
    <t>14-5</t>
  </si>
  <si>
    <t>14-8</t>
  </si>
  <si>
    <t>14-10</t>
  </si>
  <si>
    <t>15-1</t>
  </si>
  <si>
    <t>15-4</t>
  </si>
  <si>
    <t>15-6</t>
  </si>
  <si>
    <t>15-9</t>
  </si>
  <si>
    <t>15-10</t>
  </si>
  <si>
    <t>16-0</t>
  </si>
  <si>
    <t>16-2</t>
  </si>
  <si>
    <t>16-4</t>
  </si>
  <si>
    <t>16-6</t>
  </si>
  <si>
    <t>16-8</t>
  </si>
  <si>
    <t>16-10</t>
  </si>
  <si>
    <t>17-9</t>
  </si>
  <si>
    <t>18-2</t>
  </si>
  <si>
    <t>18-7</t>
  </si>
  <si>
    <t>19-0</t>
  </si>
  <si>
    <t>19-5</t>
  </si>
  <si>
    <t>19-10</t>
  </si>
  <si>
    <t>20-3</t>
  </si>
  <si>
    <t>19-1</t>
  </si>
  <si>
    <t>19-9</t>
  </si>
  <si>
    <t>20-1</t>
  </si>
  <si>
    <t>20-6</t>
  </si>
  <si>
    <t>20-10</t>
  </si>
  <si>
    <t>21-2</t>
  </si>
  <si>
    <t>20-4</t>
  </si>
  <si>
    <t>20-7</t>
  </si>
  <si>
    <t>20-11</t>
  </si>
  <si>
    <t>21-3</t>
  </si>
  <si>
    <t>21-6</t>
  </si>
  <si>
    <t>21-10</t>
  </si>
  <si>
    <t>22-1</t>
  </si>
  <si>
    <t>21-7</t>
  </si>
  <si>
    <t>22-3</t>
  </si>
  <si>
    <t>22-6</t>
  </si>
  <si>
    <t>22-9</t>
  </si>
  <si>
    <t>23-0</t>
  </si>
  <si>
    <t>23-2</t>
  </si>
  <si>
    <t>23-4</t>
  </si>
  <si>
    <t>23-6</t>
  </si>
  <si>
    <t>23-8</t>
  </si>
  <si>
    <t>23-10</t>
  </si>
  <si>
    <t>24-0</t>
  </si>
  <si>
    <t>24-1</t>
  </si>
  <si>
    <t>24-3</t>
  </si>
  <si>
    <t>24-4</t>
  </si>
  <si>
    <t>24-5</t>
  </si>
  <si>
    <t>24-7</t>
  </si>
  <si>
    <t>24-8</t>
  </si>
  <si>
    <t>25-2</t>
  </si>
  <si>
    <t>25-3</t>
  </si>
  <si>
    <t>25-4</t>
  </si>
  <si>
    <t>25-5</t>
  </si>
  <si>
    <t>8-9</t>
  </si>
  <si>
    <t>2-6</t>
  </si>
  <si>
    <t>9-2</t>
  </si>
  <si>
    <t>3-3</t>
  </si>
  <si>
    <t>9-7</t>
  </si>
  <si>
    <t>4-1</t>
  </si>
  <si>
    <t>10-0</t>
  </si>
  <si>
    <t>4-10</t>
  </si>
  <si>
    <t>10-6</t>
  </si>
  <si>
    <t>5-7</t>
  </si>
  <si>
    <t>10-11</t>
  </si>
  <si>
    <t>6-4</t>
  </si>
  <si>
    <t>11-4</t>
  </si>
  <si>
    <t>7-2</t>
  </si>
  <si>
    <t>10-2</t>
  </si>
  <si>
    <t>2-8</t>
  </si>
  <si>
    <t>10-7</t>
  </si>
  <si>
    <t>3-5</t>
  </si>
  <si>
    <t>4-3</t>
  </si>
  <si>
    <t>5-0</t>
  </si>
  <si>
    <t>11-8</t>
  </si>
  <si>
    <t>5-9</t>
  </si>
  <si>
    <t>12-1</t>
  </si>
  <si>
    <t>6-7</t>
  </si>
  <si>
    <t>12-5</t>
  </si>
  <si>
    <t>7-4</t>
  </si>
  <si>
    <t>11-7</t>
  </si>
  <si>
    <t>2-10</t>
  </si>
  <si>
    <t>11-11</t>
  </si>
  <si>
    <t>3-7</t>
  </si>
  <si>
    <t>12-3</t>
  </si>
  <si>
    <t>4-5</t>
  </si>
  <si>
    <t>12-7</t>
  </si>
  <si>
    <t>5-2</t>
  </si>
  <si>
    <t>12-11</t>
  </si>
  <si>
    <t>6-0</t>
  </si>
  <si>
    <t>6-9</t>
  </si>
  <si>
    <t>3-0</t>
  </si>
  <si>
    <t>3-10</t>
  </si>
  <si>
    <t>4-7</t>
  </si>
  <si>
    <t>5-5</t>
  </si>
  <si>
    <t>6-2</t>
  </si>
  <si>
    <t>5-8</t>
  </si>
  <si>
    <t>6-5</t>
  </si>
  <si>
    <t>7-3</t>
  </si>
  <si>
    <t>8-0</t>
  </si>
  <si>
    <t>3-6</t>
  </si>
  <si>
    <t>5-1</t>
  </si>
  <si>
    <t>5-11</t>
  </si>
  <si>
    <t>6-8</t>
  </si>
  <si>
    <t>7-6</t>
  </si>
  <si>
    <t>8-3</t>
  </si>
  <si>
    <t>5-4</t>
  </si>
  <si>
    <t>6-1</t>
  </si>
  <si>
    <t>6-11</t>
  </si>
  <si>
    <t>7-8</t>
  </si>
  <si>
    <t>8-5</t>
  </si>
  <si>
    <t>4-2</t>
  </si>
  <si>
    <t>4-11</t>
  </si>
  <si>
    <t>6-6</t>
  </si>
  <si>
    <t>8-1</t>
  </si>
  <si>
    <t>8-10</t>
  </si>
  <si>
    <t>4-6</t>
  </si>
  <si>
    <t>5-3</t>
  </si>
  <si>
    <t>6-10</t>
  </si>
  <si>
    <t>9-3</t>
  </si>
  <si>
    <t>9-8</t>
  </si>
  <si>
    <t>8-6</t>
  </si>
  <si>
    <t>10-1</t>
  </si>
  <si>
    <t>8-2</t>
  </si>
  <si>
    <t>8-11</t>
  </si>
  <si>
    <t>9-9</t>
  </si>
  <si>
    <t>7-0</t>
  </si>
  <si>
    <t>7-9</t>
  </si>
  <si>
    <t>8-7</t>
  </si>
  <si>
    <t>9-5</t>
  </si>
  <si>
    <t>ft-in</t>
  </si>
  <si>
    <t>Alternate?</t>
  </si>
  <si>
    <t>Yes</t>
  </si>
  <si>
    <t xml:space="preserve"> </t>
  </si>
  <si>
    <t>Alternate</t>
  </si>
  <si>
    <t>Str?</t>
  </si>
  <si>
    <t>Al Box:</t>
  </si>
  <si>
    <t>Same rise can have different spans</t>
  </si>
  <si>
    <t>Lower rise can have more flow area  thus, need to check list to maximize flow area for available rise</t>
  </si>
  <si>
    <t>Flow</t>
  </si>
  <si>
    <t>Area</t>
  </si>
  <si>
    <t>(SF)</t>
  </si>
  <si>
    <t>Category:  Aluminum box</t>
  </si>
  <si>
    <t>(ft-in)</t>
  </si>
  <si>
    <t>feet of cover</t>
  </si>
  <si>
    <t xml:space="preserve">Aluminum Box  (max)  </t>
  </si>
  <si>
    <t xml:space="preserve">Aluminum Box  (min)  </t>
  </si>
  <si>
    <t>Allowable</t>
  </si>
  <si>
    <t>Precast Concrete</t>
  </si>
  <si>
    <t>Aluminum Box</t>
  </si>
  <si>
    <t>SPREADSHEET INSTRUCTIONS</t>
  </si>
  <si>
    <t>PURPOSE</t>
  </si>
  <si>
    <t>The purpose of this spreadsheet is to help in the selection of replacement culverts</t>
  </si>
  <si>
    <t>in locations where cover is tight.  It provides the maximum possible rise for various</t>
  </si>
  <si>
    <t>culvert types based on the cover requirements in the IDM and standard drawings.</t>
  </si>
  <si>
    <t>DATA ENTRY</t>
  </si>
  <si>
    <t>Part 1:  Site Conditions Data Entry</t>
  </si>
  <si>
    <t>at "tightest" culvert invert location</t>
  </si>
  <si>
    <t>For the purposes of this spreadsheet, the tightest culvert invert elevation is the invert at the</t>
  </si>
  <si>
    <t>end of the pipe where the cover is the least.  Almost all of the time, that will be the</t>
  </si>
  <si>
    <t>inlet end of the culvert.  However, in can be at the outlet end of the pipe if the roadway</t>
  </si>
  <si>
    <t>is superelevated or some other site condition makes the downstream cover less than</t>
  </si>
  <si>
    <t>the upstream cover.</t>
  </si>
  <si>
    <t>Note that the culvert invert elevation is not directly entered into the spreadsheet.</t>
  </si>
  <si>
    <t>Rather,  the actual input is the channel invert elevation aat the culvert.  The inverts</t>
  </si>
  <si>
    <r>
      <t xml:space="preserve">Important concepts:  </t>
    </r>
    <r>
      <rPr>
        <b/>
        <sz val="12"/>
        <color rgb="FFFF0000"/>
        <rFont val="Calibri"/>
        <family val="2"/>
        <scheme val="minor"/>
      </rPr>
      <t>"Tightest" Culert Invert Elevation</t>
    </r>
  </si>
  <si>
    <t>are then computed by entering the sump depth for each individual culvert type in the</t>
  </si>
  <si>
    <t>"Analysis" part of the data input.  In this way, it will be possible to enter different sump</t>
  </si>
  <si>
    <t>depths for different structure types based on IDM requirements for different spans and</t>
  </si>
  <si>
    <t>as well as to allow for custom sumping depths.  This allows structures with larger rises</t>
  </si>
  <si>
    <t>to be analyzed.</t>
  </si>
  <si>
    <t>This is the pavement elevation above the highest invert elevation (see above).  This is not</t>
  </si>
  <si>
    <t>the profile grade.  Based on any plans you have or any other information you may have you</t>
  </si>
  <si>
    <t>will need to compute the edge of pavement elevation above the pipe and enter that into</t>
  </si>
  <si>
    <t>the input.</t>
  </si>
  <si>
    <t>If plans are available, use the typical cross section to determine the proposed pavement</t>
  </si>
  <si>
    <t>section thickness as defined below.  Typically, plans are not available so we will need to</t>
  </si>
  <si>
    <t xml:space="preserve">make our best guess.  </t>
  </si>
  <si>
    <t>Asphalt pavements tend to be a  little thicker than concrete pavements, especially</t>
  </si>
  <si>
    <t>as defined below.  So, without specific information assume asphalt.</t>
  </si>
  <si>
    <t>Asphalt pavement thickness varies based on the facility type.  The recommended</t>
  </si>
  <si>
    <t>values are:</t>
  </si>
  <si>
    <t xml:space="preserve">b.)  high volume, non-interstate especially with a high percentage of truck traffic - </t>
  </si>
  <si>
    <t xml:space="preserve">       12 inches</t>
  </si>
  <si>
    <t>The bottom of the channel next to the culvert.  What else would it be?</t>
  </si>
  <si>
    <t>that corresponds to the maximum allowable culvert rise, the spreadsheet will determine</t>
  </si>
  <si>
    <t>the minimum required sump based on the type of soil selected here.</t>
  </si>
  <si>
    <t>There are three options for this input, based on Figure 203-2E of the IDM.  Using the span</t>
  </si>
  <si>
    <t>Part 2:  Analysis</t>
  </si>
  <si>
    <t>The data needed for this portion of the spreadsheet varies depending on what type of</t>
  </si>
  <si>
    <t>structure is being evaluated.  There are three basic types:  1.)  Pipes, 2.)  Concrete specialty</t>
  </si>
  <si>
    <t>structures and 3.) Aluminum boxes.</t>
  </si>
  <si>
    <t>Sump depth:</t>
  </si>
  <si>
    <t>All of the structures types will require a data entry for sump depth.  The entered value will</t>
  </si>
  <si>
    <t>be used with the channel invert elevation to compute the culvert invert elevation.  If the</t>
  </si>
  <si>
    <t>entered sump depth is less than the minimum sump depth required for the culvert span,</t>
  </si>
  <si>
    <t>the sump value you enter will turn bold red.</t>
  </si>
  <si>
    <t>Don't forget that you can sump a pipe more than the minimum if you need a larger pipe that</t>
  </si>
  <si>
    <t>would still have sufficient cover.</t>
  </si>
  <si>
    <t>Pipes:</t>
  </si>
  <si>
    <t>the maximum possible rise for the required cover and the required sump depth.  If the</t>
  </si>
  <si>
    <t>allowable cover is too tight for a give pipe type, the maximum allowalble rise will be</t>
  </si>
  <si>
    <t>returned as "n/a" and that type of pipe will not be feasible unless the sump depth is more</t>
  </si>
  <si>
    <t>than the minimum.</t>
  </si>
  <si>
    <t>The only data entry required for this category is sump depth.  The spreadsheet then returns</t>
  </si>
  <si>
    <t>Specialty structures like box culverts are different in that the minimum cover is zero.  As a</t>
  </si>
  <si>
    <t>result, the maximum allowable rise comes from the thickness of the top slab and the</t>
  </si>
  <si>
    <t>pavement thickness.  However, the slab thickness is a function of span, not rise.  As a</t>
  </si>
  <si>
    <t>result, it is necessary to enter both sump depth and span to compute the maximum</t>
  </si>
  <si>
    <t>allowable rise.</t>
  </si>
  <si>
    <t>Different spans also have different ranges of possible rise, and the computations return the</t>
  </si>
  <si>
    <t>minimimum and maximum rises possible for a given structure type and span.  In designing</t>
  </si>
  <si>
    <t>a structure for a given site, it is important to know how rise is specified for different</t>
  </si>
  <si>
    <t>structure types.  For box culverts, the rise is in one-foot increments.  Vendor information</t>
  </si>
  <si>
    <t>should be consulted for the three-sided options to see what increment can be used to</t>
  </si>
  <si>
    <t>specify the rise.</t>
  </si>
  <si>
    <t>Three-sided flat top structures are a little tricky.  In theory, there are two vendors for these</t>
  </si>
  <si>
    <t>structures:  TriSpan and HySpan.  These two options have different options for span as well</t>
  </si>
  <si>
    <t>as different slab thicknesses.  In addition, the HySpan has a much larger haunch, so it may</t>
  </si>
  <si>
    <t>offer less waterway area than a TriSpan of the same span and rise.  The spreadsheet returns</t>
  </si>
  <si>
    <t>results for TriSpan for spans up to 30 feet.  For larger spans, it returns information for the</t>
  </si>
  <si>
    <t>HySpan option.  Also, it has an result for "alternate structure."  Where "Yes" shows up in that</t>
  </si>
  <si>
    <t>column, it means that there is a HySpan alternate that may be considered for the site.</t>
  </si>
  <si>
    <t>Information on the HySpan structures with a span of 30 feet or less can be found on the</t>
  </si>
  <si>
    <t>"Tables" tab of this spreadsheet, near the lower right corner.</t>
  </si>
  <si>
    <t>Aluminum box culverts are even more interesting.  The only data entry is sump depth and</t>
  </si>
  <si>
    <t>this will return the following data:</t>
  </si>
  <si>
    <t>"Max Rise" which is the rise that corresponds to the minimum 1.4 feet of cover.</t>
  </si>
  <si>
    <t>"Min Span" which is the smallest span that corresponds to the maximum rise.</t>
  </si>
  <si>
    <t>In a number of cases, a wider span can be available for the maximum rise.</t>
  </si>
  <si>
    <t xml:space="preserve">3.  </t>
  </si>
  <si>
    <t>"Min Rise" which is the rise that corresdonds to the maximum cover of 5 feet.</t>
  </si>
  <si>
    <t>A value of "n/a" means that five feet of cover would not be exceed for any size</t>
  </si>
  <si>
    <t>of aluminum box at the site.</t>
  </si>
  <si>
    <t>Using the maximum allowable rise may not provide the greatest flow area at a given site.</t>
  </si>
  <si>
    <t>If an aluminum box is being considered for a site, it would be best to take the maximum</t>
  </si>
  <si>
    <t>allowable rise to the "Category:  Aluminum box" table on the "Tables" tab.  This table</t>
  </si>
  <si>
    <t>provides the waterway area for all of the available rise / span combindations.  Using a</t>
  </si>
  <si>
    <t>somewhat smaller span might provide for a wider span, and thus more available flow area.</t>
  </si>
  <si>
    <t>This table can be found in the lower right corner of the "Tables'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</si>
</sst>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3" x14ac:knownFonts="1">
    <font>
      <sz val="11"/>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b/>
      <sz val="18"/>
      <color theme="1"/>
      <name val="Calibri"/>
      <family val="2"/>
      <scheme val="minor"/>
    </font>
    <font>
      <b/>
      <u/>
      <sz val="12"/>
      <color theme="1"/>
      <name val="Calibri"/>
      <family val="2"/>
      <scheme val="minor"/>
    </font>
    <font>
      <sz val="10"/>
      <color theme="1"/>
      <name val="Tahoma"/>
      <family val="2"/>
    </font>
    <font>
      <b/>
      <i/>
      <sz val="11"/>
      <color rgb="FFFF0000"/>
      <name val="Calibri"/>
      <family val="2"/>
      <scheme val="minor"/>
    </font>
    <font>
      <sz val="12"/>
      <color theme="1"/>
      <name val="Calibri"/>
      <family val="2"/>
      <scheme val="minor"/>
    </font>
    <font>
      <b/>
      <sz val="12"/>
      <color rgb="FFFF0000"/>
      <name val="Calibri"/>
      <family val="2"/>
      <scheme val="minor"/>
    </font>
    <font>
      <b/>
      <u/>
      <sz val="12"/>
      <color rgb="FFFF0000"/>
      <name val="Calibri"/>
      <family val="2"/>
      <scheme val="minor"/>
    </font>
    <font>
      <b/>
      <i/>
      <sz val="12"/>
      <color theme="1"/>
      <name val="Calibri"/>
      <family val="2"/>
      <scheme val="minor"/>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s>
  <cellStyleXfs count="1">
    <xf numFmtId="0" fontId="0" fillId="0" borderId="0"/>
  </cellStyleXfs>
  <cellXfs count="82">
    <xf numFmtId="0" fontId="0" fillId="0" borderId="0" xfId="0"/>
    <xf numFmtId="0" fontId="1" fillId="0" borderId="0" xfId="0" applyFont="1"/>
    <xf numFmtId="0" fontId="2" fillId="0" borderId="0" xfId="0" applyFont="1"/>
    <xf numFmtId="0" fontId="0" fillId="0" borderId="0" xfId="0" quotePrefix="1" applyAlignment="1">
      <alignment horizontal="right"/>
    </xf>
    <xf numFmtId="0" fontId="0"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xf>
    <xf numFmtId="0" fontId="0" fillId="0" borderId="0" xfId="0" applyAlignment="1">
      <alignment horizontal="right"/>
    </xf>
    <xf numFmtId="0" fontId="0" fillId="0" borderId="0" xfId="0" applyBorder="1"/>
    <xf numFmtId="0" fontId="0" fillId="0" borderId="1" xfId="0" applyBorder="1" applyAlignment="1">
      <alignment horizontal="center"/>
    </xf>
    <xf numFmtId="0" fontId="0" fillId="0" borderId="0" xfId="0" applyBorder="1" applyAlignment="1"/>
    <xf numFmtId="0" fontId="0" fillId="0" borderId="2" xfId="0" applyBorder="1" applyAlignment="1">
      <alignment horizontal="center"/>
    </xf>
    <xf numFmtId="0" fontId="0" fillId="0" borderId="1" xfId="0" applyBorder="1"/>
    <xf numFmtId="0" fontId="0" fillId="0" borderId="1" xfId="0" applyBorder="1" applyAlignment="1">
      <alignment horizontal="right"/>
    </xf>
    <xf numFmtId="0" fontId="0" fillId="0" borderId="0" xfId="0" applyBorder="1" applyAlignment="1">
      <alignment horizontal="right"/>
    </xf>
    <xf numFmtId="0" fontId="0" fillId="0" borderId="2" xfId="0" applyBorder="1"/>
    <xf numFmtId="0" fontId="1" fillId="2" borderId="1" xfId="0" applyFont="1" applyFill="1" applyBorder="1"/>
    <xf numFmtId="0" fontId="0" fillId="2" borderId="1" xfId="0" applyFill="1" applyBorder="1"/>
    <xf numFmtId="0" fontId="1" fillId="0" borderId="3" xfId="0" applyFont="1" applyBorder="1"/>
    <xf numFmtId="0" fontId="0" fillId="0" borderId="4" xfId="0" applyBorder="1"/>
    <xf numFmtId="0" fontId="0" fillId="0" borderId="5" xfId="0" applyBorder="1"/>
    <xf numFmtId="0" fontId="1" fillId="0" borderId="6" xfId="0" applyFont="1" applyBorder="1"/>
    <xf numFmtId="0" fontId="0" fillId="0" borderId="7" xfId="0" applyBorder="1"/>
    <xf numFmtId="0" fontId="0" fillId="0" borderId="8" xfId="0" applyBorder="1"/>
    <xf numFmtId="0" fontId="1" fillId="0" borderId="9" xfId="0" applyFont="1" applyBorder="1"/>
    <xf numFmtId="0" fontId="0" fillId="0" borderId="9" xfId="0" applyBorder="1"/>
    <xf numFmtId="0" fontId="0" fillId="0" borderId="9" xfId="0" applyBorder="1" applyAlignment="1">
      <alignment horizontal="center"/>
    </xf>
    <xf numFmtId="0" fontId="0" fillId="0" borderId="2" xfId="0" applyBorder="1" applyAlignment="1">
      <alignment horizontal="righ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3" borderId="14" xfId="0" applyFill="1" applyBorder="1" applyAlignment="1">
      <alignment horizontal="center"/>
    </xf>
    <xf numFmtId="0" fontId="0" fillId="3" borderId="1" xfId="0" applyFill="1" applyBorder="1" applyAlignment="1">
      <alignment horizontal="left"/>
    </xf>
    <xf numFmtId="0" fontId="0" fillId="3" borderId="1" xfId="0" applyFill="1" applyBorder="1" applyAlignment="1"/>
    <xf numFmtId="0" fontId="0" fillId="3" borderId="1" xfId="0" applyFill="1" applyBorder="1"/>
    <xf numFmtId="0" fontId="0" fillId="3" borderId="2" xfId="0" applyFill="1" applyBorder="1" applyAlignment="1">
      <alignment horizontal="left"/>
    </xf>
    <xf numFmtId="0" fontId="0" fillId="3" borderId="2" xfId="0" applyFill="1" applyBorder="1"/>
    <xf numFmtId="164" fontId="0" fillId="3" borderId="1" xfId="0" applyNumberFormat="1" applyFill="1" applyBorder="1" applyAlignment="1">
      <alignment horizontal="center"/>
    </xf>
    <xf numFmtId="0" fontId="0" fillId="0" borderId="0" xfId="0" applyFill="1" applyBorder="1" applyAlignment="1">
      <alignment horizontal="center"/>
    </xf>
    <xf numFmtId="0" fontId="0" fillId="0" borderId="15" xfId="0" applyBorder="1"/>
    <xf numFmtId="0" fontId="0" fillId="0" borderId="15" xfId="0" applyBorder="1" applyAlignment="1">
      <alignment horizontal="right"/>
    </xf>
    <xf numFmtId="0" fontId="0" fillId="3" borderId="16" xfId="0" applyFill="1" applyBorder="1" applyAlignment="1">
      <alignment horizontal="center"/>
    </xf>
    <xf numFmtId="0" fontId="0" fillId="0" borderId="15" xfId="0" applyBorder="1" applyAlignment="1">
      <alignment horizontal="center"/>
    </xf>
    <xf numFmtId="0" fontId="2" fillId="0" borderId="0" xfId="0" quotePrefix="1" applyFont="1"/>
    <xf numFmtId="0" fontId="6" fillId="0" borderId="0" xfId="0" applyFont="1"/>
    <xf numFmtId="0" fontId="6" fillId="0" borderId="0" xfId="0" applyFont="1" applyAlignment="1">
      <alignment horizontal="center" vertical="center"/>
    </xf>
    <xf numFmtId="2" fontId="0" fillId="0" borderId="0" xfId="0" applyNumberFormat="1" applyAlignment="1">
      <alignment horizontal="center"/>
    </xf>
    <xf numFmtId="2" fontId="0" fillId="0" borderId="2" xfId="0" applyNumberFormat="1" applyBorder="1" applyAlignment="1">
      <alignment horizontal="center"/>
    </xf>
    <xf numFmtId="2" fontId="0" fillId="0" borderId="15" xfId="0" applyNumberFormat="1" applyBorder="1" applyAlignment="1">
      <alignment horizontal="center"/>
    </xf>
    <xf numFmtId="2" fontId="0" fillId="0" borderId="0" xfId="0" applyNumberFormat="1"/>
    <xf numFmtId="0" fontId="0" fillId="0" borderId="0" xfId="0" applyAlignment="1">
      <alignment horizontal="center" vertical="center"/>
    </xf>
    <xf numFmtId="49" fontId="0" fillId="0" borderId="0" xfId="0" applyNumberFormat="1"/>
    <xf numFmtId="49" fontId="0" fillId="0" borderId="0" xfId="0" applyNumberFormat="1" applyAlignment="1">
      <alignment horizontal="center"/>
    </xf>
    <xf numFmtId="0" fontId="7" fillId="0" borderId="0" xfId="0" applyFont="1"/>
    <xf numFmtId="0" fontId="0" fillId="0" borderId="0" xfId="0" applyBorder="1" applyAlignment="1">
      <alignment horizontal="center"/>
    </xf>
    <xf numFmtId="0" fontId="0" fillId="0" borderId="0" xfId="0" applyFont="1" applyAlignment="1">
      <alignment horizontal="center"/>
    </xf>
    <xf numFmtId="0" fontId="0" fillId="0" borderId="17" xfId="0" applyFont="1" applyBorder="1" applyAlignment="1">
      <alignment horizontal="center"/>
    </xf>
    <xf numFmtId="0" fontId="0" fillId="0" borderId="1" xfId="0" applyFont="1" applyBorder="1" applyAlignment="1">
      <alignment horizontal="center"/>
    </xf>
    <xf numFmtId="0" fontId="0" fillId="0" borderId="18" xfId="0" applyFont="1" applyBorder="1" applyAlignment="1">
      <alignment horizontal="center"/>
    </xf>
    <xf numFmtId="0" fontId="0" fillId="0" borderId="1" xfId="0" applyFont="1" applyFill="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0" xfId="0" applyAlignment="1">
      <alignment horizontal="center"/>
    </xf>
    <xf numFmtId="0" fontId="0" fillId="0" borderId="9" xfId="0" applyFill="1" applyBorder="1" applyAlignment="1">
      <alignment horizontal="center"/>
    </xf>
    <xf numFmtId="0" fontId="0" fillId="0" borderId="20" xfId="0" applyBorder="1"/>
    <xf numFmtId="0" fontId="0" fillId="0" borderId="23" xfId="0" applyBorder="1"/>
    <xf numFmtId="2"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center"/>
    </xf>
    <xf numFmtId="0" fontId="0" fillId="0" borderId="1" xfId="0" applyFill="1" applyBorder="1" applyAlignment="1">
      <alignment horizontal="center"/>
    </xf>
    <xf numFmtId="0" fontId="8" fillId="0" borderId="0" xfId="0" applyFont="1"/>
    <xf numFmtId="0" fontId="10" fillId="0" borderId="0" xfId="0" applyFont="1"/>
    <xf numFmtId="0" fontId="11" fillId="0" borderId="0" xfId="0" applyFont="1"/>
    <xf numFmtId="0" fontId="0" fillId="0" borderId="0" xfId="0" quotePrefix="1"/>
    <xf numFmtId="0" fontId="12" fillId="0" borderId="0" xfId="0" applyFont="1"/>
    <xf numFmtId="0" fontId="0" fillId="0" borderId="0" xfId="0" applyAlignment="1">
      <alignment horizontal="center"/>
    </xf>
  </cellXfs>
  <cellStyles count="1">
    <cellStyle name="Normal" xfId="0" builtinId="0"/>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9525</xdr:colOff>
      <xdr:row>144</xdr:row>
      <xdr:rowOff>28575</xdr:rowOff>
    </xdr:from>
    <xdr:to>
      <xdr:col>18</xdr:col>
      <xdr:colOff>28575</xdr:colOff>
      <xdr:row>153</xdr:row>
      <xdr:rowOff>180975</xdr:rowOff>
    </xdr:to>
    <xdr:pic>
      <xdr:nvPicPr>
        <xdr:cNvPr id="1092" name="Picture 1" descr="image00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14058900"/>
          <a:ext cx="428625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161925</xdr:colOff>
      <xdr:row>2</xdr:row>
      <xdr:rowOff>171450</xdr:rowOff>
    </xdr:from>
    <xdr:to>
      <xdr:col>16</xdr:col>
      <xdr:colOff>523875</xdr:colOff>
      <xdr:row>8</xdr:row>
      <xdr:rowOff>171450</xdr:rowOff>
    </xdr:to>
    <xdr:sp macro="" textlink="">
      <xdr:nvSpPr>
        <xdr:cNvPr id="3" name="TextBox 2"/>
        <xdr:cNvSpPr txBox="1"/>
      </xdr:nvSpPr>
      <xdr:spPr>
        <a:xfrm>
          <a:off x="6257925" y="657225"/>
          <a:ext cx="401955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“This spreadsheet is intended as a tool to provide convenience in hydraulic design.  There is no guarantee, either implied or explicit, as to the accuracy or reliability of the results provided by these spreadsheets.  By using this spreadsheet, the user agrees to take full responsibility for the input data and for the interpretation and use of the spreadsheet results.”</a:t>
          </a:r>
        </a:p>
        <a:p>
          <a:r>
            <a:rPr lang="en-US" sz="1100">
              <a:solidFill>
                <a:schemeClr val="dk1"/>
              </a:solidFill>
              <a:effectLst/>
              <a:latin typeface="+mn-lt"/>
              <a:ea typeface="+mn-ea"/>
              <a:cs typeface="+mn-cs"/>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514350</xdr:colOff>
      <xdr:row>0</xdr:row>
      <xdr:rowOff>133350</xdr:rowOff>
    </xdr:from>
    <xdr:to>
      <xdr:col>17</xdr:col>
      <xdr:colOff>266700</xdr:colOff>
      <xdr:row>6</xdr:row>
      <xdr:rowOff>142875</xdr:rowOff>
    </xdr:to>
    <xdr:sp macro="" textlink="">
      <xdr:nvSpPr>
        <xdr:cNvPr id="2" name="TextBox 1"/>
        <xdr:cNvSpPr txBox="1"/>
      </xdr:nvSpPr>
      <xdr:spPr>
        <a:xfrm>
          <a:off x="6610350" y="133350"/>
          <a:ext cx="401955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“This spreadsheet is intended as a tool to provide convenience in hydraulic design.  There is no guarantee, either implied or explicit, as to the accuracy or reliability of the results provided by these spreadsheets.  By using this spreadsheet, the user agrees to take full responsibility for the input data and for the interpretation and use of the spreadsheet results.”</a:t>
          </a:r>
        </a:p>
        <a:p>
          <a:r>
            <a:rPr lang="en-US" sz="1100">
              <a:solidFill>
                <a:schemeClr val="dk1"/>
              </a:solidFill>
              <a:effectLst/>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2"/>
  <sheetViews>
    <sheetView tabSelected="1" workbookViewId="0">
      <selection activeCell="N13" sqref="N13"/>
    </sheetView>
  </sheetViews>
  <sheetFormatPr defaultRowHeight="15" x14ac:dyDescent="0.25"/>
  <sheetData>
    <row r="1" spans="1:1" ht="23.25" x14ac:dyDescent="0.35">
      <c r="A1" s="6" t="s">
        <v>307</v>
      </c>
    </row>
    <row r="3" spans="1:1" ht="15.75" x14ac:dyDescent="0.25">
      <c r="A3" s="7" t="s">
        <v>308</v>
      </c>
    </row>
    <row r="4" spans="1:1" ht="15.75" x14ac:dyDescent="0.25">
      <c r="A4" s="76"/>
    </row>
    <row r="5" spans="1:1" ht="15.75" x14ac:dyDescent="0.25">
      <c r="A5" s="76" t="s">
        <v>309</v>
      </c>
    </row>
    <row r="6" spans="1:1" ht="15.75" x14ac:dyDescent="0.25">
      <c r="A6" s="76" t="s">
        <v>310</v>
      </c>
    </row>
    <row r="7" spans="1:1" ht="15.75" x14ac:dyDescent="0.25">
      <c r="A7" s="76" t="s">
        <v>311</v>
      </c>
    </row>
    <row r="8" spans="1:1" ht="15.75" x14ac:dyDescent="0.25">
      <c r="A8" s="76"/>
    </row>
    <row r="9" spans="1:1" ht="15.75" x14ac:dyDescent="0.25">
      <c r="A9" s="76"/>
    </row>
    <row r="10" spans="1:1" ht="15.75" x14ac:dyDescent="0.25">
      <c r="A10" s="7" t="s">
        <v>312</v>
      </c>
    </row>
    <row r="11" spans="1:1" ht="15.75" x14ac:dyDescent="0.25">
      <c r="A11" s="76"/>
    </row>
    <row r="12" spans="1:1" ht="15.75" x14ac:dyDescent="0.25">
      <c r="A12" s="78" t="s">
        <v>322</v>
      </c>
    </row>
    <row r="13" spans="1:1" ht="15.75" x14ac:dyDescent="0.25">
      <c r="A13" s="76"/>
    </row>
    <row r="14" spans="1:1" x14ac:dyDescent="0.25">
      <c r="A14" s="4" t="s">
        <v>315</v>
      </c>
    </row>
    <row r="15" spans="1:1" ht="15.75" x14ac:dyDescent="0.25">
      <c r="A15" s="76" t="s">
        <v>316</v>
      </c>
    </row>
    <row r="16" spans="1:1" ht="15.75" x14ac:dyDescent="0.25">
      <c r="A16" s="76" t="s">
        <v>317</v>
      </c>
    </row>
    <row r="17" spans="1:1" ht="15.75" x14ac:dyDescent="0.25">
      <c r="A17" s="76" t="s">
        <v>318</v>
      </c>
    </row>
    <row r="18" spans="1:1" ht="15.75" x14ac:dyDescent="0.25">
      <c r="A18" s="76" t="s">
        <v>319</v>
      </c>
    </row>
    <row r="20" spans="1:1" ht="15.75" x14ac:dyDescent="0.25">
      <c r="A20" s="76" t="s">
        <v>320</v>
      </c>
    </row>
    <row r="21" spans="1:1" ht="15.75" x14ac:dyDescent="0.25">
      <c r="A21" s="76" t="s">
        <v>321</v>
      </c>
    </row>
    <row r="22" spans="1:1" ht="15.75" x14ac:dyDescent="0.25">
      <c r="A22" s="76" t="s">
        <v>323</v>
      </c>
    </row>
    <row r="23" spans="1:1" ht="15.75" x14ac:dyDescent="0.25">
      <c r="A23" s="76" t="s">
        <v>324</v>
      </c>
    </row>
    <row r="24" spans="1:1" ht="15.75" x14ac:dyDescent="0.25">
      <c r="A24" s="76" t="s">
        <v>325</v>
      </c>
    </row>
    <row r="25" spans="1:1" ht="15.75" x14ac:dyDescent="0.25">
      <c r="A25" s="76" t="s">
        <v>326</v>
      </c>
    </row>
    <row r="26" spans="1:1" ht="15.75" x14ac:dyDescent="0.25">
      <c r="A26" s="76" t="s">
        <v>327</v>
      </c>
    </row>
    <row r="27" spans="1:1" x14ac:dyDescent="0.25">
      <c r="A27" s="4"/>
    </row>
    <row r="28" spans="1:1" x14ac:dyDescent="0.25">
      <c r="A28" s="4"/>
    </row>
    <row r="29" spans="1:1" ht="15.75" x14ac:dyDescent="0.25">
      <c r="A29" s="77" t="s">
        <v>313</v>
      </c>
    </row>
    <row r="30" spans="1:1" x14ac:dyDescent="0.25">
      <c r="A30" s="4"/>
    </row>
    <row r="31" spans="1:1" x14ac:dyDescent="0.25">
      <c r="A31" s="1" t="s">
        <v>28</v>
      </c>
    </row>
    <row r="32" spans="1:1" x14ac:dyDescent="0.25">
      <c r="A32" t="s">
        <v>328</v>
      </c>
    </row>
    <row r="33" spans="1:2" x14ac:dyDescent="0.25">
      <c r="A33" t="s">
        <v>329</v>
      </c>
    </row>
    <row r="34" spans="1:2" x14ac:dyDescent="0.25">
      <c r="A34" t="s">
        <v>330</v>
      </c>
    </row>
    <row r="35" spans="1:2" x14ac:dyDescent="0.25">
      <c r="A35" s="4" t="s">
        <v>331</v>
      </c>
    </row>
    <row r="38" spans="1:2" x14ac:dyDescent="0.25">
      <c r="A38" s="1" t="s">
        <v>27</v>
      </c>
    </row>
    <row r="39" spans="1:2" x14ac:dyDescent="0.25">
      <c r="A39" s="4" t="s">
        <v>332</v>
      </c>
    </row>
    <row r="40" spans="1:2" x14ac:dyDescent="0.25">
      <c r="A40" s="4" t="s">
        <v>333</v>
      </c>
    </row>
    <row r="41" spans="1:2" x14ac:dyDescent="0.25">
      <c r="A41" s="4" t="s">
        <v>334</v>
      </c>
    </row>
    <row r="43" spans="1:2" x14ac:dyDescent="0.25">
      <c r="A43" s="4" t="s">
        <v>17</v>
      </c>
    </row>
    <row r="45" spans="1:2" x14ac:dyDescent="0.25">
      <c r="A45" s="3" t="s">
        <v>3</v>
      </c>
      <c r="B45" t="s">
        <v>335</v>
      </c>
    </row>
    <row r="46" spans="1:2" x14ac:dyDescent="0.25">
      <c r="B46" t="s">
        <v>336</v>
      </c>
    </row>
    <row r="48" spans="1:2" x14ac:dyDescent="0.25">
      <c r="A48" s="3" t="s">
        <v>7</v>
      </c>
      <c r="B48" t="s">
        <v>337</v>
      </c>
    </row>
    <row r="49" spans="1:2" x14ac:dyDescent="0.25">
      <c r="B49" t="s">
        <v>338</v>
      </c>
    </row>
    <row r="50" spans="1:2" x14ac:dyDescent="0.25">
      <c r="A50" s="1"/>
      <c r="B50" t="s">
        <v>18</v>
      </c>
    </row>
    <row r="51" spans="1:2" x14ac:dyDescent="0.25">
      <c r="A51" s="1"/>
      <c r="B51" t="s">
        <v>339</v>
      </c>
    </row>
    <row r="52" spans="1:2" x14ac:dyDescent="0.25">
      <c r="A52" s="4"/>
      <c r="B52" s="79" t="s">
        <v>340</v>
      </c>
    </row>
    <row r="53" spans="1:2" x14ac:dyDescent="0.25">
      <c r="B53" t="s">
        <v>19</v>
      </c>
    </row>
    <row r="54" spans="1:2" x14ac:dyDescent="0.25">
      <c r="A54" s="1"/>
    </row>
    <row r="56" spans="1:2" x14ac:dyDescent="0.25">
      <c r="A56" s="1" t="s">
        <v>33</v>
      </c>
    </row>
    <row r="57" spans="1:2" x14ac:dyDescent="0.25">
      <c r="A57" t="s">
        <v>341</v>
      </c>
    </row>
    <row r="60" spans="1:2" x14ac:dyDescent="0.25">
      <c r="A60" s="1" t="s">
        <v>118</v>
      </c>
    </row>
    <row r="61" spans="1:2" x14ac:dyDescent="0.25">
      <c r="A61" s="4" t="s">
        <v>344</v>
      </c>
    </row>
    <row r="62" spans="1:2" x14ac:dyDescent="0.25">
      <c r="A62" s="4" t="s">
        <v>342</v>
      </c>
    </row>
    <row r="63" spans="1:2" x14ac:dyDescent="0.25">
      <c r="A63" s="4" t="s">
        <v>343</v>
      </c>
    </row>
    <row r="66" spans="1:20" ht="15.75" x14ac:dyDescent="0.25">
      <c r="A66" s="77" t="s">
        <v>345</v>
      </c>
    </row>
    <row r="68" spans="1:20" x14ac:dyDescent="0.25">
      <c r="A68" t="s">
        <v>346</v>
      </c>
    </row>
    <row r="69" spans="1:20" x14ac:dyDescent="0.25">
      <c r="A69" t="s">
        <v>347</v>
      </c>
    </row>
    <row r="70" spans="1:20" x14ac:dyDescent="0.25">
      <c r="A70" t="s">
        <v>348</v>
      </c>
    </row>
    <row r="73" spans="1:20" x14ac:dyDescent="0.25">
      <c r="A73" s="80" t="s">
        <v>349</v>
      </c>
    </row>
    <row r="74" spans="1:20" x14ac:dyDescent="0.25">
      <c r="A74" t="s">
        <v>350</v>
      </c>
    </row>
    <row r="75" spans="1:20" x14ac:dyDescent="0.25">
      <c r="A75" t="s">
        <v>351</v>
      </c>
    </row>
    <row r="76" spans="1:20" x14ac:dyDescent="0.25">
      <c r="A76" t="s">
        <v>352</v>
      </c>
      <c r="Q76" t="s">
        <v>145</v>
      </c>
    </row>
    <row r="77" spans="1:20" x14ac:dyDescent="0.25">
      <c r="A77" t="s">
        <v>353</v>
      </c>
    </row>
    <row r="78" spans="1:20" x14ac:dyDescent="0.25">
      <c r="Q78" t="s">
        <v>146</v>
      </c>
    </row>
    <row r="79" spans="1:20" x14ac:dyDescent="0.25">
      <c r="A79" t="s">
        <v>354</v>
      </c>
      <c r="Q79" t="s">
        <v>147</v>
      </c>
      <c r="T79" t="s">
        <v>148</v>
      </c>
    </row>
    <row r="80" spans="1:20" x14ac:dyDescent="0.25">
      <c r="A80" t="s">
        <v>355</v>
      </c>
    </row>
    <row r="82" spans="1:17" x14ac:dyDescent="0.25">
      <c r="Q82" t="s">
        <v>293</v>
      </c>
    </row>
    <row r="83" spans="1:17" x14ac:dyDescent="0.25">
      <c r="A83" s="1" t="s">
        <v>356</v>
      </c>
      <c r="Q83" t="s">
        <v>294</v>
      </c>
    </row>
    <row r="84" spans="1:17" x14ac:dyDescent="0.25">
      <c r="A84" t="s">
        <v>361</v>
      </c>
      <c r="Q84" t="s">
        <v>295</v>
      </c>
    </row>
    <row r="85" spans="1:17" x14ac:dyDescent="0.25">
      <c r="A85" s="4" t="s">
        <v>357</v>
      </c>
    </row>
    <row r="86" spans="1:17" x14ac:dyDescent="0.25">
      <c r="A86" s="4" t="s">
        <v>358</v>
      </c>
    </row>
    <row r="87" spans="1:17" x14ac:dyDescent="0.25">
      <c r="A87" s="4" t="s">
        <v>359</v>
      </c>
    </row>
    <row r="88" spans="1:17" x14ac:dyDescent="0.25">
      <c r="A88" s="4" t="s">
        <v>360</v>
      </c>
    </row>
    <row r="91" spans="1:17" x14ac:dyDescent="0.25">
      <c r="A91" s="1" t="s">
        <v>133</v>
      </c>
    </row>
    <row r="92" spans="1:17" x14ac:dyDescent="0.25">
      <c r="A92" t="s">
        <v>362</v>
      </c>
    </row>
    <row r="93" spans="1:17" x14ac:dyDescent="0.25">
      <c r="A93" t="s">
        <v>363</v>
      </c>
    </row>
    <row r="94" spans="1:17" x14ac:dyDescent="0.25">
      <c r="A94" t="s">
        <v>364</v>
      </c>
    </row>
    <row r="95" spans="1:17" x14ac:dyDescent="0.25">
      <c r="A95" t="s">
        <v>365</v>
      </c>
    </row>
    <row r="96" spans="1:17" x14ac:dyDescent="0.25">
      <c r="A96" t="s">
        <v>366</v>
      </c>
    </row>
    <row r="98" spans="1:1" x14ac:dyDescent="0.25">
      <c r="A98" t="s">
        <v>367</v>
      </c>
    </row>
    <row r="99" spans="1:1" x14ac:dyDescent="0.25">
      <c r="A99" t="s">
        <v>368</v>
      </c>
    </row>
    <row r="100" spans="1:1" x14ac:dyDescent="0.25">
      <c r="A100" t="s">
        <v>369</v>
      </c>
    </row>
    <row r="101" spans="1:1" x14ac:dyDescent="0.25">
      <c r="A101" t="s">
        <v>370</v>
      </c>
    </row>
    <row r="102" spans="1:1" x14ac:dyDescent="0.25">
      <c r="A102" t="s">
        <v>371</v>
      </c>
    </row>
    <row r="103" spans="1:1" x14ac:dyDescent="0.25">
      <c r="A103" t="s">
        <v>372</v>
      </c>
    </row>
    <row r="105" spans="1:1" x14ac:dyDescent="0.25">
      <c r="A105" t="s">
        <v>373</v>
      </c>
    </row>
    <row r="106" spans="1:1" x14ac:dyDescent="0.25">
      <c r="A106" t="s">
        <v>374</v>
      </c>
    </row>
    <row r="107" spans="1:1" x14ac:dyDescent="0.25">
      <c r="A107" t="s">
        <v>375</v>
      </c>
    </row>
    <row r="108" spans="1:1" x14ac:dyDescent="0.25">
      <c r="A108" t="s">
        <v>376</v>
      </c>
    </row>
    <row r="109" spans="1:1" x14ac:dyDescent="0.25">
      <c r="A109" t="s">
        <v>377</v>
      </c>
    </row>
    <row r="110" spans="1:1" x14ac:dyDescent="0.25">
      <c r="A110" t="s">
        <v>378</v>
      </c>
    </row>
    <row r="111" spans="1:1" x14ac:dyDescent="0.25">
      <c r="A111" t="s">
        <v>379</v>
      </c>
    </row>
    <row r="112" spans="1:1" x14ac:dyDescent="0.25">
      <c r="A112" t="s">
        <v>380</v>
      </c>
    </row>
    <row r="113" spans="1:2" x14ac:dyDescent="0.25">
      <c r="A113" t="s">
        <v>381</v>
      </c>
    </row>
    <row r="115" spans="1:2" x14ac:dyDescent="0.25">
      <c r="A115" t="s">
        <v>382</v>
      </c>
    </row>
    <row r="116" spans="1:2" x14ac:dyDescent="0.25">
      <c r="A116" t="s">
        <v>383</v>
      </c>
    </row>
    <row r="117" spans="1:2" x14ac:dyDescent="0.25">
      <c r="A117" s="3" t="s">
        <v>3</v>
      </c>
      <c r="B117" s="79" t="s">
        <v>384</v>
      </c>
    </row>
    <row r="118" spans="1:2" x14ac:dyDescent="0.25">
      <c r="A118" s="3" t="s">
        <v>7</v>
      </c>
      <c r="B118" t="s">
        <v>385</v>
      </c>
    </row>
    <row r="119" spans="1:2" x14ac:dyDescent="0.25">
      <c r="B119" t="s">
        <v>386</v>
      </c>
    </row>
    <row r="120" spans="1:2" x14ac:dyDescent="0.25">
      <c r="A120" s="3" t="s">
        <v>387</v>
      </c>
      <c r="B120" t="s">
        <v>388</v>
      </c>
    </row>
    <row r="121" spans="1:2" x14ac:dyDescent="0.25">
      <c r="B121" t="s">
        <v>389</v>
      </c>
    </row>
    <row r="122" spans="1:2" x14ac:dyDescent="0.25">
      <c r="B122" t="s">
        <v>390</v>
      </c>
    </row>
    <row r="123" spans="1:2" x14ac:dyDescent="0.25">
      <c r="A123" t="s">
        <v>391</v>
      </c>
    </row>
    <row r="124" spans="1:2" x14ac:dyDescent="0.25">
      <c r="A124" t="s">
        <v>392</v>
      </c>
    </row>
    <row r="125" spans="1:2" x14ac:dyDescent="0.25">
      <c r="A125" t="s">
        <v>393</v>
      </c>
    </row>
    <row r="126" spans="1:2" x14ac:dyDescent="0.25">
      <c r="A126" t="s">
        <v>394</v>
      </c>
    </row>
    <row r="127" spans="1:2" x14ac:dyDescent="0.25">
      <c r="A127" t="s">
        <v>395</v>
      </c>
    </row>
    <row r="128" spans="1:2" x14ac:dyDescent="0.25">
      <c r="A128" t="s">
        <v>396</v>
      </c>
    </row>
    <row r="132" spans="1:2" ht="15.75" x14ac:dyDescent="0.25">
      <c r="A132" s="7" t="s">
        <v>16</v>
      </c>
    </row>
    <row r="134" spans="1:2" x14ac:dyDescent="0.25">
      <c r="A134" t="s">
        <v>0</v>
      </c>
    </row>
    <row r="135" spans="1:2" x14ac:dyDescent="0.25">
      <c r="A135" t="s">
        <v>1</v>
      </c>
    </row>
    <row r="137" spans="1:2" x14ac:dyDescent="0.25">
      <c r="A137" t="s">
        <v>2</v>
      </c>
    </row>
    <row r="139" spans="1:2" x14ac:dyDescent="0.25">
      <c r="A139" s="3" t="s">
        <v>3</v>
      </c>
      <c r="B139" t="s">
        <v>4</v>
      </c>
    </row>
    <row r="140" spans="1:2" x14ac:dyDescent="0.25">
      <c r="B140" t="s">
        <v>5</v>
      </c>
    </row>
    <row r="141" spans="1:2" x14ac:dyDescent="0.25">
      <c r="B141" t="s">
        <v>6</v>
      </c>
    </row>
    <row r="143" spans="1:2" x14ac:dyDescent="0.25">
      <c r="A143" s="3" t="s">
        <v>7</v>
      </c>
      <c r="B143" t="s">
        <v>8</v>
      </c>
    </row>
    <row r="144" spans="1:2" x14ac:dyDescent="0.25">
      <c r="B144" t="s">
        <v>9</v>
      </c>
    </row>
    <row r="146" spans="1:1" x14ac:dyDescent="0.25">
      <c r="A146" t="s">
        <v>10</v>
      </c>
    </row>
    <row r="148" spans="1:1" x14ac:dyDescent="0.25">
      <c r="A148" t="s">
        <v>11</v>
      </c>
    </row>
    <row r="149" spans="1:1" x14ac:dyDescent="0.25">
      <c r="A149" t="s">
        <v>12</v>
      </c>
    </row>
    <row r="150" spans="1:1" x14ac:dyDescent="0.25">
      <c r="A150" t="s">
        <v>13</v>
      </c>
    </row>
    <row r="151" spans="1:1" x14ac:dyDescent="0.25">
      <c r="A151" t="s">
        <v>14</v>
      </c>
    </row>
    <row r="152" spans="1:1" x14ac:dyDescent="0.25">
      <c r="A152" t="s">
        <v>15</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0"/>
  <sheetViews>
    <sheetView zoomScaleNormal="100" workbookViewId="0">
      <selection activeCell="O19" sqref="O19"/>
    </sheetView>
  </sheetViews>
  <sheetFormatPr defaultRowHeight="15" x14ac:dyDescent="0.25"/>
  <sheetData>
    <row r="1" spans="1:13" ht="18.75" x14ac:dyDescent="0.3">
      <c r="A1" s="2" t="s">
        <v>20</v>
      </c>
    </row>
    <row r="2" spans="1:13" x14ac:dyDescent="0.25">
      <c r="C2" s="10"/>
    </row>
    <row r="3" spans="1:13" x14ac:dyDescent="0.25">
      <c r="B3" s="9" t="s">
        <v>23</v>
      </c>
      <c r="C3" s="35" t="s">
        <v>67</v>
      </c>
      <c r="F3" s="16" t="s">
        <v>24</v>
      </c>
      <c r="G3" s="35"/>
      <c r="H3" s="37"/>
      <c r="I3" s="9" t="s">
        <v>26</v>
      </c>
      <c r="J3" s="40"/>
    </row>
    <row r="4" spans="1:13" x14ac:dyDescent="0.25">
      <c r="B4" s="9" t="s">
        <v>21</v>
      </c>
      <c r="C4" s="35" t="s">
        <v>67</v>
      </c>
      <c r="D4" s="10"/>
      <c r="F4" s="16" t="s">
        <v>25</v>
      </c>
      <c r="G4" s="38"/>
      <c r="H4" s="39"/>
      <c r="I4" s="9" t="s">
        <v>26</v>
      </c>
      <c r="J4" s="40"/>
    </row>
    <row r="5" spans="1:13" x14ac:dyDescent="0.25">
      <c r="B5" s="9" t="s">
        <v>22</v>
      </c>
      <c r="C5" s="35" t="s">
        <v>68</v>
      </c>
      <c r="D5" s="36"/>
    </row>
    <row r="6" spans="1:13" x14ac:dyDescent="0.25">
      <c r="D6" s="10"/>
    </row>
    <row r="8" spans="1:13" x14ac:dyDescent="0.25">
      <c r="A8" s="18" t="s">
        <v>32</v>
      </c>
      <c r="B8" s="19"/>
      <c r="C8" s="19"/>
      <c r="D8" s="19"/>
      <c r="E8" s="19"/>
      <c r="F8" s="19"/>
      <c r="G8" s="19"/>
      <c r="H8" s="19"/>
      <c r="I8" s="19"/>
      <c r="J8" s="19"/>
      <c r="K8" s="19"/>
      <c r="L8" s="19"/>
      <c r="M8" s="19"/>
    </row>
    <row r="9" spans="1:13" ht="15.75" thickBot="1" x14ac:dyDescent="0.3"/>
    <row r="10" spans="1:13" x14ac:dyDescent="0.25">
      <c r="C10" s="9" t="s">
        <v>28</v>
      </c>
      <c r="D10" s="34">
        <v>106.25</v>
      </c>
      <c r="E10" t="s">
        <v>29</v>
      </c>
      <c r="F10" s="20" t="s">
        <v>30</v>
      </c>
      <c r="G10" s="21"/>
      <c r="H10" s="21"/>
      <c r="I10" s="22"/>
    </row>
    <row r="11" spans="1:13" ht="15.75" thickBot="1" x14ac:dyDescent="0.3">
      <c r="C11" s="9" t="s">
        <v>27</v>
      </c>
      <c r="D11" s="34">
        <v>12</v>
      </c>
      <c r="E11" t="s">
        <v>55</v>
      </c>
      <c r="F11" s="23" t="s">
        <v>31</v>
      </c>
      <c r="G11" s="24"/>
      <c r="H11" s="24"/>
      <c r="I11" s="25"/>
    </row>
    <row r="12" spans="1:13" x14ac:dyDescent="0.25">
      <c r="D12" s="8"/>
    </row>
    <row r="13" spans="1:13" x14ac:dyDescent="0.25">
      <c r="C13" s="9" t="s">
        <v>33</v>
      </c>
      <c r="D13" s="34">
        <v>99.5</v>
      </c>
      <c r="E13" t="s">
        <v>29</v>
      </c>
      <c r="F13" t="s">
        <v>314</v>
      </c>
    </row>
    <row r="14" spans="1:13" x14ac:dyDescent="0.25">
      <c r="C14" s="9" t="s">
        <v>118</v>
      </c>
      <c r="D14" s="34" t="s">
        <v>121</v>
      </c>
      <c r="F14" s="1" t="s">
        <v>127</v>
      </c>
    </row>
    <row r="17" spans="1:13" x14ac:dyDescent="0.25">
      <c r="A17" s="18" t="s">
        <v>34</v>
      </c>
      <c r="B17" s="19"/>
      <c r="C17" s="19"/>
      <c r="D17" s="19"/>
      <c r="E17" s="19"/>
      <c r="F17" s="19"/>
      <c r="G17" s="19"/>
      <c r="H17" s="19"/>
      <c r="I17" s="19"/>
      <c r="J17" s="19"/>
      <c r="K17" s="19"/>
      <c r="L17" s="19"/>
      <c r="M17" s="19"/>
    </row>
    <row r="19" spans="1:13" x14ac:dyDescent="0.25">
      <c r="A19" s="1" t="s">
        <v>144</v>
      </c>
      <c r="D19" s="56" t="s">
        <v>45</v>
      </c>
      <c r="E19" s="10"/>
      <c r="G19" s="56" t="s">
        <v>50</v>
      </c>
      <c r="M19" t="s">
        <v>116</v>
      </c>
    </row>
    <row r="20" spans="1:13" x14ac:dyDescent="0.25">
      <c r="D20" s="30" t="s">
        <v>46</v>
      </c>
      <c r="E20" s="63"/>
      <c r="F20" s="8"/>
      <c r="G20" s="8" t="s">
        <v>51</v>
      </c>
      <c r="H20" s="8" t="s">
        <v>61</v>
      </c>
      <c r="I20" s="8" t="s">
        <v>56</v>
      </c>
      <c r="J20" s="12"/>
      <c r="K20" s="8" t="s">
        <v>56</v>
      </c>
      <c r="L20" s="12"/>
      <c r="M20" s="8" t="s">
        <v>117</v>
      </c>
    </row>
    <row r="21" spans="1:13" x14ac:dyDescent="0.25">
      <c r="D21" s="31" t="s">
        <v>47</v>
      </c>
      <c r="E21" s="63"/>
      <c r="F21" s="8"/>
      <c r="G21" s="8" t="s">
        <v>52</v>
      </c>
      <c r="H21" s="8" t="s">
        <v>65</v>
      </c>
      <c r="I21" s="8" t="s">
        <v>54</v>
      </c>
      <c r="J21" s="41" t="s">
        <v>49</v>
      </c>
      <c r="K21" s="8" t="s">
        <v>54</v>
      </c>
      <c r="L21" s="41" t="s">
        <v>49</v>
      </c>
      <c r="M21" s="41" t="s">
        <v>46</v>
      </c>
    </row>
    <row r="22" spans="1:13" ht="15.75" thickBot="1" x14ac:dyDescent="0.3">
      <c r="A22" s="26" t="s">
        <v>35</v>
      </c>
      <c r="B22" s="27"/>
      <c r="C22" s="27"/>
      <c r="D22" s="32" t="s">
        <v>48</v>
      </c>
      <c r="E22" s="64"/>
      <c r="F22" s="28"/>
      <c r="G22" s="28" t="s">
        <v>53</v>
      </c>
      <c r="H22" s="28" t="s">
        <v>53</v>
      </c>
      <c r="I22" s="28" t="s">
        <v>48</v>
      </c>
      <c r="J22" s="28" t="s">
        <v>48</v>
      </c>
      <c r="K22" s="28" t="s">
        <v>53</v>
      </c>
      <c r="L22" s="28" t="s">
        <v>53</v>
      </c>
      <c r="M22" s="28" t="s">
        <v>48</v>
      </c>
    </row>
    <row r="23" spans="1:13" ht="15.75" thickTop="1" x14ac:dyDescent="0.25">
      <c r="D23" s="33"/>
      <c r="E23" s="65"/>
      <c r="F23" s="8"/>
      <c r="G23" s="8"/>
      <c r="H23" s="8"/>
      <c r="I23" s="8"/>
    </row>
    <row r="24" spans="1:13" x14ac:dyDescent="0.25">
      <c r="A24" s="17"/>
      <c r="B24" s="17"/>
      <c r="C24" s="29" t="s">
        <v>36</v>
      </c>
      <c r="D24" s="34">
        <v>6</v>
      </c>
      <c r="E24" s="66"/>
      <c r="F24" s="13"/>
      <c r="G24" s="50">
        <f t="shared" ref="G24:G30" si="0">$D$13-D24/12</f>
        <v>99</v>
      </c>
      <c r="H24" s="13">
        <f>VLOOKUP('Detailed Comps'!$D9,CMP,4)</f>
        <v>1</v>
      </c>
      <c r="I24" s="13">
        <f>VLOOKUP('Detailed Comps'!$D9,CMP,2)</f>
        <v>60</v>
      </c>
      <c r="J24" s="13"/>
      <c r="K24" s="50">
        <f>IF($I24="n/a","n/a",I24/12)</f>
        <v>5</v>
      </c>
      <c r="L24" s="13"/>
      <c r="M24" s="13">
        <f>IF(I24="n/a","n/a",INDEX(Sump,'Detailed Comps'!F9,'Detailed Comps'!$F$23))</f>
        <v>6</v>
      </c>
    </row>
    <row r="25" spans="1:13" x14ac:dyDescent="0.25">
      <c r="A25" s="17"/>
      <c r="B25" s="17"/>
      <c r="C25" s="29" t="s">
        <v>114</v>
      </c>
      <c r="D25" s="34">
        <v>6</v>
      </c>
      <c r="E25" s="66"/>
      <c r="F25" s="13"/>
      <c r="G25" s="50">
        <f t="shared" si="0"/>
        <v>99</v>
      </c>
      <c r="H25" s="13">
        <f>VLOOKUP('Detailed Comps'!$D10,CMPA_Small,5)</f>
        <v>1.6</v>
      </c>
      <c r="I25" s="13">
        <f>VLOOKUP('Detailed Comps'!$D10,CMPA_Small,2)</f>
        <v>52</v>
      </c>
      <c r="J25" s="13">
        <f>VLOOKUP('Detailed Comps'!$D10,CMPA_Small,3)</f>
        <v>77</v>
      </c>
      <c r="K25" s="50">
        <f t="shared" ref="K25:L30" si="1">IF($I25="n/a","n/a",I25/12)</f>
        <v>4.333333333333333</v>
      </c>
      <c r="L25" s="50">
        <f t="shared" si="1"/>
        <v>6.416666666666667</v>
      </c>
      <c r="M25" s="13">
        <f>IF(I25="n/a","n/a",INDEX(Sump,'Detailed Comps'!F10,'Detailed Comps'!$F$23))</f>
        <v>6</v>
      </c>
    </row>
    <row r="26" spans="1:13" x14ac:dyDescent="0.25">
      <c r="A26" s="17"/>
      <c r="B26" s="17"/>
      <c r="C26" s="29" t="s">
        <v>115</v>
      </c>
      <c r="D26" s="34">
        <v>6</v>
      </c>
      <c r="E26" s="66"/>
      <c r="F26" s="13"/>
      <c r="G26" s="50">
        <f t="shared" si="0"/>
        <v>99</v>
      </c>
      <c r="H26" s="13">
        <f>VLOOKUP('Detailed Comps'!$D11,CMPA_Big,5)</f>
        <v>1.1000000000000001</v>
      </c>
      <c r="I26" s="13">
        <f>VLOOKUP('Detailed Comps'!$D11,CMPA_Big,2)</f>
        <v>55</v>
      </c>
      <c r="J26" s="13">
        <f>VLOOKUP('Detailed Comps'!$D11,CMPA_Big,3)</f>
        <v>73</v>
      </c>
      <c r="K26" s="50">
        <f t="shared" si="1"/>
        <v>4.583333333333333</v>
      </c>
      <c r="L26" s="50">
        <f t="shared" si="1"/>
        <v>6.083333333333333</v>
      </c>
      <c r="M26" s="13">
        <f>IF(I26="n/a","n/a",INDEX(Sump,'Detailed Comps'!F11,'Detailed Comps'!$F$23))</f>
        <v>6</v>
      </c>
    </row>
    <row r="27" spans="1:13" x14ac:dyDescent="0.25">
      <c r="A27" s="17"/>
      <c r="B27" s="17"/>
      <c r="C27" s="29" t="s">
        <v>38</v>
      </c>
      <c r="D27" s="34">
        <v>6</v>
      </c>
      <c r="E27" s="66"/>
      <c r="F27" s="13"/>
      <c r="G27" s="50">
        <f t="shared" si="0"/>
        <v>99</v>
      </c>
      <c r="H27" s="13">
        <f>VLOOKUP('Detailed Comps'!$D12,RCP,4)</f>
        <v>1</v>
      </c>
      <c r="I27" s="13">
        <f>VLOOKUP('Detailed Comps'!$D12,RCP,2)</f>
        <v>54</v>
      </c>
      <c r="J27" s="13"/>
      <c r="K27" s="50">
        <f t="shared" si="1"/>
        <v>4.5</v>
      </c>
      <c r="L27" s="13"/>
      <c r="M27" s="13">
        <f>IF(I27="n/a","n/a",INDEX(Sump,'Detailed Comps'!F12,'Detailed Comps'!$F$23))</f>
        <v>6</v>
      </c>
    </row>
    <row r="28" spans="1:13" x14ac:dyDescent="0.25">
      <c r="A28" s="17"/>
      <c r="B28" s="17"/>
      <c r="C28" s="29" t="s">
        <v>39</v>
      </c>
      <c r="D28" s="34">
        <v>6</v>
      </c>
      <c r="E28" s="66"/>
      <c r="F28" s="13"/>
      <c r="G28" s="50">
        <f t="shared" si="0"/>
        <v>99</v>
      </c>
      <c r="H28" s="13">
        <f>VLOOKUP('Detailed Comps'!$D13,HERCP,5)</f>
        <v>1</v>
      </c>
      <c r="I28" s="13">
        <f>VLOOKUP('Detailed Comps'!$D13,HERCP,2)</f>
        <v>53</v>
      </c>
      <c r="J28" s="13">
        <f>VLOOKUP('Detailed Comps'!$D13,HERCP,3)</f>
        <v>83</v>
      </c>
      <c r="K28" s="50">
        <f t="shared" si="1"/>
        <v>4.416666666666667</v>
      </c>
      <c r="L28" s="50">
        <f t="shared" si="1"/>
        <v>6.916666666666667</v>
      </c>
      <c r="M28" s="13">
        <f>IF(I28="n/a","n/a",INDEX(Sump,'Detailed Comps'!F13,'Detailed Comps'!$F$23))</f>
        <v>6</v>
      </c>
    </row>
    <row r="29" spans="1:13" x14ac:dyDescent="0.25">
      <c r="A29" s="17"/>
      <c r="B29" s="17"/>
      <c r="C29" s="29" t="s">
        <v>37</v>
      </c>
      <c r="D29" s="34">
        <v>6</v>
      </c>
      <c r="E29" s="66"/>
      <c r="F29" s="13"/>
      <c r="G29" s="50">
        <f t="shared" si="0"/>
        <v>99</v>
      </c>
      <c r="H29" s="13" t="str">
        <f>VLOOKUP('Detailed Comps'!$D14,SemiSmooth,4)</f>
        <v>1.25</v>
      </c>
      <c r="I29" s="13">
        <f>VLOOKUP('Detailed Comps'!$D14,SemiSmooth,2)</f>
        <v>54</v>
      </c>
      <c r="J29" s="13"/>
      <c r="K29" s="50">
        <f t="shared" si="1"/>
        <v>4.5</v>
      </c>
      <c r="L29" s="13"/>
      <c r="M29" s="13">
        <f>IF(I29="n/a","n/a",INDEX(Sump,'Detailed Comps'!F14,'Detailed Comps'!$F$23))</f>
        <v>6</v>
      </c>
    </row>
    <row r="30" spans="1:13" ht="15.75" thickBot="1" x14ac:dyDescent="0.3">
      <c r="A30" s="42"/>
      <c r="B30" s="42"/>
      <c r="C30" s="43" t="s">
        <v>40</v>
      </c>
      <c r="D30" s="44">
        <v>3</v>
      </c>
      <c r="E30" s="67"/>
      <c r="F30" s="45"/>
      <c r="G30" s="51">
        <f t="shared" si="0"/>
        <v>99.25</v>
      </c>
      <c r="H30" s="45">
        <f>VLOOKUP('Detailed Comps'!$D15,Plastic,4)</f>
        <v>2</v>
      </c>
      <c r="I30" s="45">
        <f>VLOOKUP('Detailed Comps'!$D15,Plastic,2)</f>
        <v>42</v>
      </c>
      <c r="J30" s="45"/>
      <c r="K30" s="51">
        <f t="shared" si="1"/>
        <v>3.5</v>
      </c>
      <c r="L30" s="45"/>
      <c r="M30" s="45">
        <f>IF(I30="n/a","n/a",INDEX(Sump,'Detailed Comps'!F15,'Detailed Comps'!$F$23))</f>
        <v>3</v>
      </c>
    </row>
    <row r="31" spans="1:13" ht="15.75" thickTop="1" x14ac:dyDescent="0.25"/>
    <row r="35" spans="1:13" x14ac:dyDescent="0.25">
      <c r="A35" s="1" t="s">
        <v>133</v>
      </c>
      <c r="D35" s="56" t="s">
        <v>45</v>
      </c>
      <c r="E35" s="14"/>
      <c r="G35" s="56" t="s">
        <v>50</v>
      </c>
      <c r="M35" t="s">
        <v>116</v>
      </c>
    </row>
    <row r="36" spans="1:13" x14ac:dyDescent="0.25">
      <c r="D36" s="30" t="s">
        <v>46</v>
      </c>
      <c r="E36" s="30"/>
      <c r="G36" s="8" t="s">
        <v>51</v>
      </c>
      <c r="H36" s="8" t="s">
        <v>134</v>
      </c>
      <c r="I36" s="8" t="s">
        <v>56</v>
      </c>
      <c r="J36" s="81" t="s">
        <v>135</v>
      </c>
      <c r="K36" s="81"/>
      <c r="L36" s="8"/>
      <c r="M36" s="8" t="s">
        <v>117</v>
      </c>
    </row>
    <row r="37" spans="1:13" x14ac:dyDescent="0.25">
      <c r="D37" s="31" t="s">
        <v>47</v>
      </c>
      <c r="E37" s="31" t="s">
        <v>49</v>
      </c>
      <c r="G37" s="8" t="s">
        <v>52</v>
      </c>
      <c r="H37" s="41" t="s">
        <v>64</v>
      </c>
      <c r="I37" s="8" t="s">
        <v>54</v>
      </c>
      <c r="J37" s="8" t="s">
        <v>136</v>
      </c>
      <c r="K37" s="8" t="s">
        <v>56</v>
      </c>
      <c r="L37" s="8" t="s">
        <v>291</v>
      </c>
      <c r="M37" s="41" t="s">
        <v>46</v>
      </c>
    </row>
    <row r="38" spans="1:13" ht="15.75" thickBot="1" x14ac:dyDescent="0.3">
      <c r="A38" s="26" t="s">
        <v>305</v>
      </c>
      <c r="B38" s="27"/>
      <c r="C38" s="27"/>
      <c r="D38" s="32" t="s">
        <v>48</v>
      </c>
      <c r="E38" s="32" t="s">
        <v>53</v>
      </c>
      <c r="F38" s="27"/>
      <c r="G38" s="28" t="s">
        <v>53</v>
      </c>
      <c r="H38" s="69" t="s">
        <v>48</v>
      </c>
      <c r="I38" s="28" t="s">
        <v>53</v>
      </c>
      <c r="J38" s="28" t="s">
        <v>53</v>
      </c>
      <c r="K38" s="28" t="s">
        <v>53</v>
      </c>
      <c r="L38" s="28" t="s">
        <v>292</v>
      </c>
      <c r="M38" s="28" t="s">
        <v>48</v>
      </c>
    </row>
    <row r="39" spans="1:13" ht="15.75" thickTop="1" x14ac:dyDescent="0.25">
      <c r="D39" s="33"/>
      <c r="E39" s="33"/>
      <c r="F39" s="70"/>
      <c r="G39" s="71"/>
      <c r="H39" s="71"/>
      <c r="I39" s="71"/>
      <c r="J39" s="71"/>
      <c r="K39" s="71"/>
      <c r="L39" s="71"/>
      <c r="M39" s="71"/>
    </row>
    <row r="40" spans="1:13" x14ac:dyDescent="0.25">
      <c r="A40" s="14"/>
      <c r="B40" s="14"/>
      <c r="C40" s="15" t="s">
        <v>41</v>
      </c>
      <c r="D40" s="34">
        <v>12</v>
      </c>
      <c r="E40" s="34">
        <v>12</v>
      </c>
      <c r="F40" s="11"/>
      <c r="G40" s="50">
        <f>$D$13-D40/12</f>
        <v>98.5</v>
      </c>
      <c r="H40" s="11">
        <f>VLOOKUP(E40,RCB,2)</f>
        <v>12</v>
      </c>
      <c r="I40" s="72">
        <f>IF(($D$10-($D$11+H40)/12)-($D$13-D40/12)&lt;J40,"n/a",($D$10-($D$11+H40)/12)-($D$13-D40/12))</f>
        <v>5.75</v>
      </c>
      <c r="J40" s="11">
        <f>VLOOKUP(E40,RCB,3)</f>
        <v>4</v>
      </c>
      <c r="K40" s="11">
        <f>VLOOKUP(E40,RCB,4)</f>
        <v>12</v>
      </c>
      <c r="L40" s="11"/>
      <c r="M40" s="13">
        <f>IF(I40="n/a","n/a",INDEX(Sump,'Detailed Comps'!F29,'Detailed Comps'!$F$23))</f>
        <v>12</v>
      </c>
    </row>
    <row r="41" spans="1:13" x14ac:dyDescent="0.25">
      <c r="A41" s="17"/>
      <c r="B41" s="17"/>
      <c r="C41" s="29" t="s">
        <v>43</v>
      </c>
      <c r="D41" s="34">
        <v>12</v>
      </c>
      <c r="E41" s="34">
        <v>14</v>
      </c>
      <c r="F41" s="13"/>
      <c r="G41" s="50">
        <f>$D$13-D41/12</f>
        <v>98.5</v>
      </c>
      <c r="H41" s="13">
        <f>VLOOKUP($E41,FlatTop,2)</f>
        <v>10</v>
      </c>
      <c r="I41" s="72">
        <f>IF(($D$10-($D$11+H41)/12)-($D$13-D41/12)&lt;J41,"n/a",($D$10-($D$11+H41)/12)-($D$13-D41/12))</f>
        <v>5.9166666666666714</v>
      </c>
      <c r="J41" s="13">
        <f>VLOOKUP($E41,FlatTop,3)</f>
        <v>3</v>
      </c>
      <c r="K41" s="13">
        <f>VLOOKUP($E41,FlatTop,4)</f>
        <v>10</v>
      </c>
      <c r="L41" s="13" t="str">
        <f>VLOOKUP(E41,FlatTop,5)</f>
        <v>Yes</v>
      </c>
      <c r="M41" s="13">
        <f>IF(I41="n/a","n/a",INDEX(Sump,'Detailed Comps'!F30,'Detailed Comps'!$F$23))</f>
        <v>12</v>
      </c>
    </row>
    <row r="42" spans="1:13" x14ac:dyDescent="0.25">
      <c r="A42" s="17"/>
      <c r="B42" s="17"/>
      <c r="C42" s="29" t="s">
        <v>44</v>
      </c>
      <c r="D42" s="34">
        <v>12</v>
      </c>
      <c r="E42" s="34">
        <v>12</v>
      </c>
      <c r="F42" s="13"/>
      <c r="G42" s="50">
        <f>$D$13-D42/12</f>
        <v>98.5</v>
      </c>
      <c r="H42" s="13">
        <f>VLOOKUP($E42,ArchTop,2)</f>
        <v>8</v>
      </c>
      <c r="I42" s="72">
        <f>IF(($D$10-($D$11+H42)/12)-($D$13-D42/12)&lt;J42,"n/a",($D$10-($D$11+H42)/12)-($D$13-D42/12))</f>
        <v>6.0833333333333286</v>
      </c>
      <c r="J42" s="13">
        <f>VLOOKUP($E42,ArchTop,3)</f>
        <v>4</v>
      </c>
      <c r="K42" s="13">
        <f>VLOOKUP($E42,ArchTop,4)</f>
        <v>10</v>
      </c>
      <c r="L42" s="13"/>
      <c r="M42" s="13">
        <f>IF(I42="n/a","n/a",INDEX(Sump,'Detailed Comps'!F31,'Detailed Comps'!$F$23))</f>
        <v>12</v>
      </c>
    </row>
    <row r="45" spans="1:13" x14ac:dyDescent="0.25">
      <c r="D45" s="56" t="s">
        <v>45</v>
      </c>
      <c r="G45" s="56" t="s">
        <v>50</v>
      </c>
      <c r="M45" t="s">
        <v>116</v>
      </c>
    </row>
    <row r="46" spans="1:13" x14ac:dyDescent="0.25">
      <c r="D46" s="30" t="s">
        <v>46</v>
      </c>
      <c r="G46" s="74" t="s">
        <v>51</v>
      </c>
      <c r="H46" s="74" t="s">
        <v>56</v>
      </c>
      <c r="I46" s="74" t="s">
        <v>136</v>
      </c>
      <c r="J46" s="74" t="s">
        <v>136</v>
      </c>
      <c r="M46" s="74" t="s">
        <v>117</v>
      </c>
    </row>
    <row r="47" spans="1:13" x14ac:dyDescent="0.25">
      <c r="D47" s="31" t="s">
        <v>47</v>
      </c>
      <c r="G47" s="74" t="s">
        <v>52</v>
      </c>
      <c r="H47" s="74" t="s">
        <v>54</v>
      </c>
      <c r="I47" s="74" t="s">
        <v>49</v>
      </c>
      <c r="J47" s="74" t="s">
        <v>54</v>
      </c>
      <c r="M47" s="41" t="s">
        <v>46</v>
      </c>
    </row>
    <row r="48" spans="1:13" ht="15.75" thickBot="1" x14ac:dyDescent="0.3">
      <c r="A48" s="26" t="s">
        <v>306</v>
      </c>
      <c r="B48" s="27"/>
      <c r="C48" s="27"/>
      <c r="D48" s="32" t="s">
        <v>48</v>
      </c>
      <c r="E48" s="27"/>
      <c r="F48" s="27"/>
      <c r="G48" s="28" t="s">
        <v>53</v>
      </c>
      <c r="H48" s="28" t="s">
        <v>300</v>
      </c>
      <c r="I48" s="28" t="s">
        <v>300</v>
      </c>
      <c r="J48" s="28" t="s">
        <v>300</v>
      </c>
      <c r="K48" s="27"/>
      <c r="L48" s="27"/>
      <c r="M48" s="28" t="s">
        <v>48</v>
      </c>
    </row>
    <row r="49" spans="1:13" ht="15.75" thickTop="1" x14ac:dyDescent="0.25">
      <c r="M49" s="14"/>
    </row>
    <row r="50" spans="1:13" x14ac:dyDescent="0.25">
      <c r="A50" s="17"/>
      <c r="B50" s="17"/>
      <c r="C50" s="29" t="s">
        <v>42</v>
      </c>
      <c r="D50" s="34">
        <v>12</v>
      </c>
      <c r="E50" s="66"/>
      <c r="F50" s="13"/>
      <c r="G50" s="50">
        <f>$D$13-D50/12</f>
        <v>98.5</v>
      </c>
      <c r="H50" s="13" t="str">
        <f>VLOOKUP('Detailed Comps'!$D$20,AlBox,2)</f>
        <v>5-4</v>
      </c>
      <c r="I50" s="13" t="str">
        <f>VLOOKUP('Detailed Comps'!$D$20,AlBox,4)</f>
        <v>22-9</v>
      </c>
      <c r="J50" s="13" t="str">
        <f>VLOOKUP('Detailed Comps'!D21,AlBox,2)</f>
        <v>n/a</v>
      </c>
      <c r="K50" s="13"/>
      <c r="L50" s="13"/>
      <c r="M50" s="13">
        <f>IF(I50="n/a","n/a",INDEX(Sump,'Detailed Comps'!F32,'Detailed Comps'!$F$23))</f>
        <v>12</v>
      </c>
    </row>
  </sheetData>
  <mergeCells count="1">
    <mergeCell ref="J36:K36"/>
  </mergeCells>
  <conditionalFormatting sqref="D24">
    <cfRule type="expression" dxfId="10" priority="12">
      <formula>$D$24&lt;$M$24</formula>
    </cfRule>
  </conditionalFormatting>
  <conditionalFormatting sqref="D25">
    <cfRule type="expression" dxfId="9" priority="11">
      <formula>$D$25&lt;$M$25</formula>
    </cfRule>
  </conditionalFormatting>
  <conditionalFormatting sqref="D26">
    <cfRule type="expression" dxfId="8" priority="9">
      <formula>$D$26&lt;$M$26</formula>
    </cfRule>
  </conditionalFormatting>
  <conditionalFormatting sqref="D27">
    <cfRule type="expression" dxfId="7" priority="8">
      <formula>$D$27&lt;$M$27</formula>
    </cfRule>
  </conditionalFormatting>
  <conditionalFormatting sqref="D28">
    <cfRule type="expression" dxfId="6" priority="7">
      <formula>$D$28&lt;$M$28</formula>
    </cfRule>
  </conditionalFormatting>
  <conditionalFormatting sqref="D29">
    <cfRule type="expression" dxfId="5" priority="6">
      <formula>$D$29&lt;$M$29</formula>
    </cfRule>
  </conditionalFormatting>
  <conditionalFormatting sqref="D30">
    <cfRule type="expression" dxfId="4" priority="5">
      <formula>$D$30&lt;$M$30</formula>
    </cfRule>
  </conditionalFormatting>
  <conditionalFormatting sqref="D40">
    <cfRule type="expression" dxfId="3" priority="4">
      <formula>$D$40&lt;$M$40</formula>
    </cfRule>
  </conditionalFormatting>
  <conditionalFormatting sqref="D41">
    <cfRule type="expression" dxfId="2" priority="3">
      <formula>$D$41&lt;$M$41</formula>
    </cfRule>
  </conditionalFormatting>
  <conditionalFormatting sqref="D42">
    <cfRule type="expression" dxfId="1" priority="2">
      <formula>$D$42&lt;$M$42</formula>
    </cfRule>
  </conditionalFormatting>
  <conditionalFormatting sqref="D50">
    <cfRule type="expression" dxfId="0" priority="1">
      <formula>$D$50&lt;$M$50</formula>
    </cfRule>
  </conditionalFormatting>
  <pageMargins left="0.7" right="0.7"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Tables!$AT$10:$AT$31</xm:f>
          </x14:formula1>
          <xm:sqref>E40</xm:sqref>
        </x14:dataValidation>
        <x14:dataValidation type="list" allowBlank="1" showInputMessage="1" showErrorMessage="1">
          <x14:formula1>
            <xm:f>Tables!$BF$9:$BF$32</xm:f>
          </x14:formula1>
          <xm:sqref>E41</xm:sqref>
        </x14:dataValidation>
        <x14:dataValidation type="list" allowBlank="1" showInputMessage="1" showErrorMessage="1">
          <x14:formula1>
            <xm:f>Tables!$AZ$10:$AZ$19</xm:f>
          </x14:formula1>
          <xm:sqref>E42</xm:sqref>
        </x14:dataValidation>
        <x14:dataValidation type="list" allowBlank="1" showInputMessage="1" showErrorMessage="1">
          <x14:formula1>
            <xm:f>Tables!$I$48:$I$50</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F32" sqref="F32"/>
    </sheetView>
  </sheetViews>
  <sheetFormatPr defaultRowHeight="15" x14ac:dyDescent="0.25"/>
  <sheetData>
    <row r="1" spans="1:7" ht="18.75" x14ac:dyDescent="0.3">
      <c r="A1" s="2" t="s">
        <v>106</v>
      </c>
    </row>
    <row r="3" spans="1:7" x14ac:dyDescent="0.25">
      <c r="B3" s="9" t="s">
        <v>107</v>
      </c>
      <c r="C3" t="s">
        <v>108</v>
      </c>
    </row>
    <row r="5" spans="1:7" x14ac:dyDescent="0.25">
      <c r="D5" s="8" t="s">
        <v>109</v>
      </c>
      <c r="F5" s="8" t="s">
        <v>128</v>
      </c>
    </row>
    <row r="6" spans="1:7" x14ac:dyDescent="0.25">
      <c r="D6" s="8" t="s">
        <v>110</v>
      </c>
      <c r="E6" s="41" t="s">
        <v>49</v>
      </c>
      <c r="F6" s="8" t="s">
        <v>129</v>
      </c>
    </row>
    <row r="7" spans="1:7" x14ac:dyDescent="0.25">
      <c r="D7" s="11" t="s">
        <v>66</v>
      </c>
      <c r="E7" s="11" t="s">
        <v>53</v>
      </c>
      <c r="F7" s="11" t="s">
        <v>130</v>
      </c>
    </row>
    <row r="8" spans="1:7" x14ac:dyDescent="0.25">
      <c r="D8" s="8"/>
      <c r="F8" s="8"/>
    </row>
    <row r="9" spans="1:7" x14ac:dyDescent="0.25">
      <c r="C9" s="9" t="s">
        <v>36</v>
      </c>
      <c r="D9" s="49">
        <f>(Input_Results!$D$10-Input_Results!$D$11/12)-Input_Results!G24</f>
        <v>6.25</v>
      </c>
      <c r="E9" s="49">
        <f>Input_Results!K24</f>
        <v>5</v>
      </c>
      <c r="F9" s="8">
        <f>IF(E9&lt;4,1,IF(E9&lt;12,2,3))</f>
        <v>2</v>
      </c>
      <c r="G9" s="8"/>
    </row>
    <row r="10" spans="1:7" x14ac:dyDescent="0.25">
      <c r="C10" s="9" t="s">
        <v>114</v>
      </c>
      <c r="D10" s="49">
        <f>(Input_Results!$D$10-Input_Results!$D$11/12)-Input_Results!G25</f>
        <v>6.25</v>
      </c>
      <c r="E10" s="49">
        <f>Input_Results!L25</f>
        <v>6.416666666666667</v>
      </c>
      <c r="F10" s="8">
        <f t="shared" ref="F10:F15" si="0">IF(E10&lt;4,1,IF(E10&lt;12,2,3))</f>
        <v>2</v>
      </c>
    </row>
    <row r="11" spans="1:7" x14ac:dyDescent="0.25">
      <c r="C11" s="9" t="s">
        <v>115</v>
      </c>
      <c r="D11" s="49">
        <f>(Input_Results!$D$10-Input_Results!$D$11/12)-Input_Results!G26</f>
        <v>6.25</v>
      </c>
      <c r="E11" s="49">
        <f>Input_Results!L26</f>
        <v>6.083333333333333</v>
      </c>
      <c r="F11" s="8">
        <f t="shared" si="0"/>
        <v>2</v>
      </c>
    </row>
    <row r="12" spans="1:7" x14ac:dyDescent="0.25">
      <c r="C12" s="9" t="s">
        <v>38</v>
      </c>
      <c r="D12" s="49">
        <f>(Input_Results!$D$10-Input_Results!$D$11/12)-Input_Results!G27</f>
        <v>6.25</v>
      </c>
      <c r="E12" s="49">
        <f>Input_Results!K27</f>
        <v>4.5</v>
      </c>
      <c r="F12" s="8">
        <f t="shared" si="0"/>
        <v>2</v>
      </c>
    </row>
    <row r="13" spans="1:7" x14ac:dyDescent="0.25">
      <c r="C13" s="9" t="s">
        <v>39</v>
      </c>
      <c r="D13" s="49">
        <f>(Input_Results!$D$10-Input_Results!$D$11/12)-Input_Results!G28</f>
        <v>6.25</v>
      </c>
      <c r="E13" s="49">
        <f>Input_Results!L28</f>
        <v>6.916666666666667</v>
      </c>
      <c r="F13" s="8">
        <f t="shared" si="0"/>
        <v>2</v>
      </c>
    </row>
    <row r="14" spans="1:7" x14ac:dyDescent="0.25">
      <c r="C14" s="9" t="s">
        <v>37</v>
      </c>
      <c r="D14" s="49">
        <f>(Input_Results!$D$10-Input_Results!$D$11/12)-Input_Results!G29</f>
        <v>6.25</v>
      </c>
      <c r="E14" s="49">
        <f>Input_Results!K29</f>
        <v>4.5</v>
      </c>
      <c r="F14" s="8">
        <f t="shared" si="0"/>
        <v>2</v>
      </c>
    </row>
    <row r="15" spans="1:7" x14ac:dyDescent="0.25">
      <c r="C15" s="9" t="s">
        <v>40</v>
      </c>
      <c r="D15" s="49">
        <f>(Input_Results!$D$10-Input_Results!$D$11/12)-Input_Results!G30</f>
        <v>6</v>
      </c>
      <c r="E15" s="49">
        <f>Input_Results!K30</f>
        <v>3.5</v>
      </c>
      <c r="F15" s="8">
        <f t="shared" si="0"/>
        <v>1</v>
      </c>
    </row>
    <row r="16" spans="1:7" x14ac:dyDescent="0.25">
      <c r="C16" s="9"/>
      <c r="D16" s="49"/>
      <c r="E16" s="49"/>
      <c r="F16" s="74"/>
    </row>
    <row r="17" spans="3:8" x14ac:dyDescent="0.25">
      <c r="C17" s="9"/>
      <c r="D17" s="49" t="s">
        <v>304</v>
      </c>
      <c r="E17" s="49"/>
      <c r="F17" s="74"/>
    </row>
    <row r="18" spans="3:8" x14ac:dyDescent="0.25">
      <c r="C18" s="9"/>
      <c r="D18" s="72" t="s">
        <v>54</v>
      </c>
      <c r="E18" s="49"/>
      <c r="F18" s="74"/>
    </row>
    <row r="20" spans="3:8" x14ac:dyDescent="0.25">
      <c r="C20" s="16" t="s">
        <v>302</v>
      </c>
      <c r="D20" s="49">
        <f>(Input_Results!$D$10-Input_Results!$D$11/12)-Input_Results!G50-G20</f>
        <v>5.35</v>
      </c>
      <c r="E20" s="49"/>
      <c r="F20" s="74"/>
      <c r="G20">
        <v>1.4</v>
      </c>
      <c r="H20" t="s">
        <v>301</v>
      </c>
    </row>
    <row r="21" spans="3:8" x14ac:dyDescent="0.25">
      <c r="C21" s="16" t="s">
        <v>303</v>
      </c>
      <c r="D21" s="49">
        <f>MAX((Input_Results!$D$10-Input_Results!$D$11/12)-Input_Results!G50-G21,0)</f>
        <v>1.75</v>
      </c>
      <c r="E21" s="49"/>
      <c r="F21" s="74"/>
      <c r="G21">
        <v>5</v>
      </c>
      <c r="H21" t="s">
        <v>301</v>
      </c>
    </row>
    <row r="23" spans="3:8" x14ac:dyDescent="0.25">
      <c r="E23" s="9" t="s">
        <v>131</v>
      </c>
      <c r="F23" s="8">
        <f>IF(Input_Results!D14="Sand",1,IF(Input_Results!D14="Other",2,3))</f>
        <v>2</v>
      </c>
    </row>
    <row r="25" spans="3:8" x14ac:dyDescent="0.25">
      <c r="F25" s="8" t="s">
        <v>128</v>
      </c>
    </row>
    <row r="26" spans="3:8" x14ac:dyDescent="0.25">
      <c r="E26" s="41" t="s">
        <v>49</v>
      </c>
      <c r="F26" s="8" t="s">
        <v>129</v>
      </c>
    </row>
    <row r="27" spans="3:8" x14ac:dyDescent="0.25">
      <c r="E27" s="11" t="s">
        <v>53</v>
      </c>
      <c r="F27" s="11" t="s">
        <v>130</v>
      </c>
    </row>
    <row r="29" spans="3:8" x14ac:dyDescent="0.25">
      <c r="C29" s="16" t="s">
        <v>41</v>
      </c>
      <c r="E29" s="8">
        <f>Input_Results!E40</f>
        <v>12</v>
      </c>
      <c r="F29" s="8">
        <f>IF(E29&lt;4,1,IF(E29&lt;12,2,3))</f>
        <v>3</v>
      </c>
    </row>
    <row r="30" spans="3:8" x14ac:dyDescent="0.25">
      <c r="C30" s="16" t="s">
        <v>43</v>
      </c>
      <c r="E30" s="73">
        <f>Input_Results!E41</f>
        <v>14</v>
      </c>
      <c r="F30" s="73">
        <f>IF(E30&lt;4,1,IF(E30&lt;12,2,3))</f>
        <v>3</v>
      </c>
    </row>
    <row r="31" spans="3:8" x14ac:dyDescent="0.25">
      <c r="C31" s="16" t="s">
        <v>44</v>
      </c>
      <c r="E31" s="68">
        <f>Input_Results!E42</f>
        <v>12</v>
      </c>
      <c r="F31" s="68">
        <f>IF(E31&lt;4,1,IF(E31&lt;12,2,3))</f>
        <v>3</v>
      </c>
    </row>
    <row r="32" spans="3:8" x14ac:dyDescent="0.25">
      <c r="C32" s="16" t="s">
        <v>42</v>
      </c>
      <c r="E32" s="49">
        <f>VLOOKUP('Detailed Comps'!D20,AlBox,3)</f>
        <v>22.75</v>
      </c>
      <c r="F32" s="74">
        <f>IF(E32&lt;4,1,IF(E32&lt;12,2,3))</f>
        <v>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30"/>
  <sheetViews>
    <sheetView topLeftCell="BA46" workbookViewId="0">
      <selection activeCell="BB59" sqref="BB59"/>
    </sheetView>
  </sheetViews>
  <sheetFormatPr defaultRowHeight="15" x14ac:dyDescent="0.25"/>
  <sheetData>
    <row r="1" spans="1:67" ht="18.75" x14ac:dyDescent="0.3">
      <c r="A1" s="46" t="s">
        <v>57</v>
      </c>
    </row>
    <row r="3" spans="1:67" x14ac:dyDescent="0.25">
      <c r="A3" s="1" t="s">
        <v>74</v>
      </c>
      <c r="B3" s="1"/>
      <c r="C3" s="1" t="s">
        <v>36</v>
      </c>
      <c r="I3" s="1" t="s">
        <v>74</v>
      </c>
      <c r="J3" s="1"/>
      <c r="K3" s="1" t="s">
        <v>111</v>
      </c>
      <c r="R3" s="1" t="s">
        <v>74</v>
      </c>
      <c r="S3" s="1"/>
      <c r="T3" s="1" t="s">
        <v>38</v>
      </c>
      <c r="Y3" s="1" t="s">
        <v>74</v>
      </c>
      <c r="Z3" s="1"/>
      <c r="AA3" s="1" t="s">
        <v>39</v>
      </c>
      <c r="AG3" s="1" t="s">
        <v>74</v>
      </c>
      <c r="AH3" s="1"/>
      <c r="AI3" s="1" t="s">
        <v>37</v>
      </c>
      <c r="AN3" s="1" t="s">
        <v>74</v>
      </c>
      <c r="AP3" s="1" t="s">
        <v>40</v>
      </c>
      <c r="AT3" s="1" t="s">
        <v>138</v>
      </c>
      <c r="AZ3" s="1" t="s">
        <v>139</v>
      </c>
      <c r="BA3" s="1"/>
      <c r="BF3" s="1" t="s">
        <v>143</v>
      </c>
      <c r="BL3" s="1" t="s">
        <v>149</v>
      </c>
    </row>
    <row r="4" spans="1:67" x14ac:dyDescent="0.25">
      <c r="A4" s="1"/>
      <c r="B4" s="1"/>
      <c r="C4" s="1"/>
      <c r="I4" s="1"/>
      <c r="J4" s="1"/>
      <c r="K4" s="1"/>
      <c r="Y4" s="1"/>
      <c r="Z4" s="1"/>
      <c r="AA4" s="1"/>
      <c r="AG4" s="1"/>
      <c r="AH4" s="1"/>
      <c r="AI4" s="1"/>
    </row>
    <row r="5" spans="1:67" x14ac:dyDescent="0.25">
      <c r="A5" s="1"/>
      <c r="B5" s="8" t="s">
        <v>62</v>
      </c>
      <c r="C5" s="8"/>
      <c r="D5" s="8" t="s">
        <v>60</v>
      </c>
      <c r="E5" s="8" t="s">
        <v>61</v>
      </c>
      <c r="I5" s="8" t="s">
        <v>62</v>
      </c>
      <c r="J5" s="8"/>
      <c r="L5" s="8" t="s">
        <v>60</v>
      </c>
      <c r="M5" s="8" t="s">
        <v>61</v>
      </c>
      <c r="R5" s="53">
        <v>24</v>
      </c>
      <c r="S5" s="47" t="s">
        <v>93</v>
      </c>
      <c r="Y5" s="53">
        <v>25</v>
      </c>
      <c r="Z5" s="47" t="s">
        <v>94</v>
      </c>
      <c r="AG5" s="53">
        <v>18</v>
      </c>
      <c r="AH5" s="47" t="s">
        <v>89</v>
      </c>
      <c r="AN5" s="53"/>
      <c r="AP5" s="8" t="s">
        <v>96</v>
      </c>
      <c r="BF5" s="73"/>
      <c r="BG5" s="57" t="s">
        <v>140</v>
      </c>
      <c r="BH5" s="73" t="s">
        <v>136</v>
      </c>
      <c r="BI5" s="73" t="s">
        <v>56</v>
      </c>
      <c r="BL5" s="74" t="s">
        <v>54</v>
      </c>
      <c r="BM5" s="74" t="s">
        <v>54</v>
      </c>
      <c r="BN5" s="74" t="s">
        <v>49</v>
      </c>
      <c r="BO5" s="74" t="s">
        <v>49</v>
      </c>
    </row>
    <row r="6" spans="1:67" x14ac:dyDescent="0.25">
      <c r="A6" s="1"/>
      <c r="B6" s="8" t="s">
        <v>66</v>
      </c>
      <c r="C6" s="8" t="s">
        <v>63</v>
      </c>
      <c r="D6" s="8" t="s">
        <v>64</v>
      </c>
      <c r="E6" s="8" t="s">
        <v>65</v>
      </c>
      <c r="I6" s="8" t="s">
        <v>66</v>
      </c>
      <c r="J6" s="8" t="s">
        <v>54</v>
      </c>
      <c r="K6" s="8" t="s">
        <v>49</v>
      </c>
      <c r="L6" s="8" t="s">
        <v>64</v>
      </c>
      <c r="M6" s="8" t="s">
        <v>65</v>
      </c>
      <c r="AO6" s="8" t="s">
        <v>62</v>
      </c>
      <c r="AP6" s="8" t="s">
        <v>97</v>
      </c>
      <c r="AQ6" s="8" t="s">
        <v>60</v>
      </c>
      <c r="AR6" s="8" t="s">
        <v>61</v>
      </c>
      <c r="AT6" s="8"/>
      <c r="AU6" s="57" t="s">
        <v>134</v>
      </c>
      <c r="AV6" s="8" t="s">
        <v>136</v>
      </c>
      <c r="AW6" s="8" t="s">
        <v>56</v>
      </c>
      <c r="AZ6" s="68"/>
      <c r="BA6" s="57" t="s">
        <v>140</v>
      </c>
      <c r="BB6" s="68" t="s">
        <v>136</v>
      </c>
      <c r="BC6" s="68" t="s">
        <v>56</v>
      </c>
      <c r="BF6" s="73" t="s">
        <v>49</v>
      </c>
      <c r="BG6" s="57" t="s">
        <v>137</v>
      </c>
      <c r="BH6" s="73" t="s">
        <v>54</v>
      </c>
      <c r="BI6" s="73" t="s">
        <v>54</v>
      </c>
      <c r="BJ6" s="74" t="s">
        <v>288</v>
      </c>
      <c r="BL6" s="75" t="s">
        <v>53</v>
      </c>
      <c r="BM6" s="75" t="s">
        <v>300</v>
      </c>
      <c r="BN6" s="75" t="s">
        <v>53</v>
      </c>
      <c r="BO6" s="75" t="s">
        <v>300</v>
      </c>
    </row>
    <row r="7" spans="1:67" x14ac:dyDescent="0.25">
      <c r="A7" s="1"/>
      <c r="B7" s="11" t="s">
        <v>53</v>
      </c>
      <c r="C7" s="11" t="s">
        <v>48</v>
      </c>
      <c r="D7" s="11" t="s">
        <v>48</v>
      </c>
      <c r="E7" s="11" t="s">
        <v>53</v>
      </c>
      <c r="I7" s="11" t="s">
        <v>53</v>
      </c>
      <c r="J7" s="11" t="s">
        <v>48</v>
      </c>
      <c r="K7" s="11" t="s">
        <v>48</v>
      </c>
      <c r="L7" s="11" t="s">
        <v>48</v>
      </c>
      <c r="M7" s="11" t="s">
        <v>53</v>
      </c>
      <c r="S7" s="8" t="s">
        <v>62</v>
      </c>
      <c r="U7" s="8" t="s">
        <v>60</v>
      </c>
      <c r="V7" s="8" t="s">
        <v>61</v>
      </c>
      <c r="Z7" s="8" t="s">
        <v>62</v>
      </c>
      <c r="AA7" s="8"/>
      <c r="AC7" s="8" t="s">
        <v>60</v>
      </c>
      <c r="AD7" s="8" t="s">
        <v>61</v>
      </c>
      <c r="AH7" s="8" t="s">
        <v>62</v>
      </c>
      <c r="AI7" s="8"/>
      <c r="AJ7" s="8" t="s">
        <v>60</v>
      </c>
      <c r="AK7" s="8" t="s">
        <v>61</v>
      </c>
      <c r="AO7" s="8" t="s">
        <v>66</v>
      </c>
      <c r="AP7" s="8" t="s">
        <v>63</v>
      </c>
      <c r="AQ7" s="8" t="s">
        <v>64</v>
      </c>
      <c r="AR7" s="8" t="s">
        <v>65</v>
      </c>
      <c r="AT7" s="8" t="s">
        <v>49</v>
      </c>
      <c r="AU7" s="57" t="s">
        <v>137</v>
      </c>
      <c r="AV7" s="8" t="s">
        <v>54</v>
      </c>
      <c r="AW7" s="8" t="s">
        <v>54</v>
      </c>
      <c r="AZ7" s="68" t="s">
        <v>49</v>
      </c>
      <c r="BA7" s="57" t="s">
        <v>137</v>
      </c>
      <c r="BB7" s="68" t="s">
        <v>54</v>
      </c>
      <c r="BC7" s="68" t="s">
        <v>54</v>
      </c>
      <c r="BF7" s="11" t="s">
        <v>53</v>
      </c>
      <c r="BG7" s="11" t="s">
        <v>48</v>
      </c>
      <c r="BH7" s="11" t="s">
        <v>53</v>
      </c>
      <c r="BI7" s="11" t="s">
        <v>53</v>
      </c>
      <c r="BJ7" s="14"/>
      <c r="BM7" s="74"/>
    </row>
    <row r="8" spans="1:67" x14ac:dyDescent="0.25">
      <c r="A8" s="1"/>
      <c r="B8" s="1"/>
      <c r="C8" s="1"/>
      <c r="I8" s="1"/>
      <c r="J8" s="1"/>
      <c r="K8" s="1"/>
      <c r="S8" s="8" t="s">
        <v>66</v>
      </c>
      <c r="T8" s="8" t="s">
        <v>63</v>
      </c>
      <c r="U8" s="8" t="s">
        <v>64</v>
      </c>
      <c r="V8" s="8" t="s">
        <v>65</v>
      </c>
      <c r="Z8" s="8" t="s">
        <v>66</v>
      </c>
      <c r="AA8" s="8" t="s">
        <v>54</v>
      </c>
      <c r="AB8" s="8" t="s">
        <v>49</v>
      </c>
      <c r="AC8" s="8" t="s">
        <v>64</v>
      </c>
      <c r="AD8" s="8" t="s">
        <v>65</v>
      </c>
      <c r="AH8" s="8" t="s">
        <v>66</v>
      </c>
      <c r="AI8" s="8" t="s">
        <v>63</v>
      </c>
      <c r="AJ8" s="8" t="s">
        <v>64</v>
      </c>
      <c r="AK8" s="8" t="s">
        <v>65</v>
      </c>
      <c r="AO8" s="11" t="s">
        <v>53</v>
      </c>
      <c r="AP8" s="11" t="s">
        <v>48</v>
      </c>
      <c r="AQ8" s="11" t="s">
        <v>48</v>
      </c>
      <c r="AR8" s="11" t="s">
        <v>53</v>
      </c>
      <c r="AT8" s="11" t="s">
        <v>53</v>
      </c>
      <c r="AU8" s="11" t="s">
        <v>48</v>
      </c>
      <c r="AV8" s="11" t="s">
        <v>53</v>
      </c>
      <c r="AW8" s="11" t="s">
        <v>53</v>
      </c>
      <c r="AZ8" s="11" t="s">
        <v>53</v>
      </c>
      <c r="BA8" s="11" t="s">
        <v>48</v>
      </c>
      <c r="BB8" s="11" t="s">
        <v>53</v>
      </c>
      <c r="BC8" s="11" t="s">
        <v>53</v>
      </c>
      <c r="BL8" s="74">
        <v>0</v>
      </c>
      <c r="BM8" s="74" t="s">
        <v>67</v>
      </c>
      <c r="BN8" s="74" t="s">
        <v>67</v>
      </c>
      <c r="BO8" s="74" t="s">
        <v>67</v>
      </c>
    </row>
    <row r="9" spans="1:67" x14ac:dyDescent="0.25">
      <c r="A9" s="1"/>
      <c r="B9" s="8">
        <v>0</v>
      </c>
      <c r="C9" s="8" t="s">
        <v>67</v>
      </c>
      <c r="I9" s="8">
        <v>0</v>
      </c>
      <c r="J9" s="8" t="s">
        <v>67</v>
      </c>
      <c r="K9" s="8" t="s">
        <v>67</v>
      </c>
      <c r="S9" s="11" t="s">
        <v>53</v>
      </c>
      <c r="T9" s="11" t="s">
        <v>48</v>
      </c>
      <c r="U9" s="11" t="s">
        <v>48</v>
      </c>
      <c r="V9" s="11" t="s">
        <v>53</v>
      </c>
      <c r="Z9" s="11" t="s">
        <v>53</v>
      </c>
      <c r="AA9" s="11" t="s">
        <v>48</v>
      </c>
      <c r="AB9" s="11" t="s">
        <v>48</v>
      </c>
      <c r="AC9" s="11" t="s">
        <v>48</v>
      </c>
      <c r="AD9" s="11" t="s">
        <v>53</v>
      </c>
      <c r="AH9" s="11" t="s">
        <v>53</v>
      </c>
      <c r="AI9" s="11" t="s">
        <v>48</v>
      </c>
      <c r="AJ9" s="11" t="s">
        <v>48</v>
      </c>
      <c r="AK9" s="11" t="s">
        <v>53</v>
      </c>
      <c r="AV9" s="8"/>
      <c r="AW9" s="8"/>
      <c r="BF9" s="73">
        <v>12</v>
      </c>
      <c r="BG9" s="73">
        <v>10</v>
      </c>
      <c r="BH9" s="73">
        <v>3</v>
      </c>
      <c r="BI9" s="73">
        <v>10</v>
      </c>
      <c r="BJ9" s="74" t="s">
        <v>290</v>
      </c>
      <c r="BL9" s="49">
        <v>2.5</v>
      </c>
      <c r="BM9" s="55" t="s">
        <v>212</v>
      </c>
      <c r="BN9" s="49">
        <f>VLOOKUP(BL9,$BL$87:$BM$173,2)</f>
        <v>8.75</v>
      </c>
      <c r="BO9" s="74" t="str">
        <f>VLOOKUP(BL9,$BL$87:$BN$173,3)</f>
        <v>8-9</v>
      </c>
    </row>
    <row r="10" spans="1:67" x14ac:dyDescent="0.25">
      <c r="A10" s="1"/>
      <c r="B10" s="49">
        <v>2.083333333333333</v>
      </c>
      <c r="C10" s="8">
        <v>12</v>
      </c>
      <c r="D10" s="8">
        <v>1</v>
      </c>
      <c r="E10" s="8">
        <v>1</v>
      </c>
      <c r="I10" s="49">
        <f t="shared" ref="I10:I21" si="0">(J10+L10)/12+M10</f>
        <v>2.666666666666667</v>
      </c>
      <c r="J10" s="8">
        <v>13</v>
      </c>
      <c r="K10" s="8">
        <v>17</v>
      </c>
      <c r="L10" s="8">
        <v>1</v>
      </c>
      <c r="M10" s="8">
        <v>1.5</v>
      </c>
      <c r="AI10" s="54"/>
      <c r="AK10" s="54"/>
      <c r="AO10" s="8">
        <v>0</v>
      </c>
      <c r="AP10" s="8" t="s">
        <v>67</v>
      </c>
      <c r="AQ10" s="8" t="s">
        <v>67</v>
      </c>
      <c r="AT10" s="8">
        <v>3</v>
      </c>
      <c r="AU10" s="8">
        <v>4</v>
      </c>
      <c r="AV10" s="8">
        <v>2</v>
      </c>
      <c r="AW10" s="8">
        <v>3</v>
      </c>
      <c r="AZ10" s="68">
        <v>12</v>
      </c>
      <c r="BA10" s="68">
        <v>8</v>
      </c>
      <c r="BB10" s="68">
        <v>4</v>
      </c>
      <c r="BC10" s="68">
        <v>10</v>
      </c>
      <c r="BF10" s="73">
        <v>13</v>
      </c>
      <c r="BG10" s="73">
        <v>10</v>
      </c>
      <c r="BH10" s="73">
        <v>3</v>
      </c>
      <c r="BI10" s="73">
        <v>10</v>
      </c>
      <c r="BJ10" s="74" t="s">
        <v>290</v>
      </c>
      <c r="BL10" s="49">
        <v>2.6666666666666665</v>
      </c>
      <c r="BM10" s="55" t="s">
        <v>226</v>
      </c>
      <c r="BN10" s="49">
        <f t="shared" ref="BN10:BN69" si="1">VLOOKUP(BL10,$BL$87:$BM$173,2)</f>
        <v>10.166666666666666</v>
      </c>
      <c r="BO10" s="74" t="str">
        <f t="shared" ref="BO10:BO69" si="2">VLOOKUP(BL10,$BL$87:$BN$173,3)</f>
        <v>10-2</v>
      </c>
    </row>
    <row r="11" spans="1:67" x14ac:dyDescent="0.25">
      <c r="A11" s="1"/>
      <c r="B11" s="49">
        <v>2.333333333333333</v>
      </c>
      <c r="C11" s="8">
        <v>15</v>
      </c>
      <c r="D11" s="8">
        <v>1</v>
      </c>
      <c r="E11" s="8">
        <v>1</v>
      </c>
      <c r="I11" s="49">
        <f t="shared" si="0"/>
        <v>2.9333333333333336</v>
      </c>
      <c r="J11" s="8">
        <v>15</v>
      </c>
      <c r="K11" s="8">
        <v>21</v>
      </c>
      <c r="L11" s="8">
        <v>1</v>
      </c>
      <c r="M11" s="8">
        <v>1.6</v>
      </c>
      <c r="S11" s="8">
        <v>0</v>
      </c>
      <c r="T11" s="8" t="s">
        <v>67</v>
      </c>
      <c r="U11" s="8" t="s">
        <v>67</v>
      </c>
      <c r="Z11" s="8">
        <v>0</v>
      </c>
      <c r="AA11" s="8" t="s">
        <v>67</v>
      </c>
      <c r="AB11" s="8" t="s">
        <v>67</v>
      </c>
      <c r="AH11" s="8">
        <v>0</v>
      </c>
      <c r="AI11" s="8" t="s">
        <v>67</v>
      </c>
      <c r="AJ11" s="8" t="s">
        <v>67</v>
      </c>
      <c r="AO11" s="49">
        <v>3.104166666666667</v>
      </c>
      <c r="AP11" s="8">
        <v>12</v>
      </c>
      <c r="AQ11" s="8">
        <v>1.25</v>
      </c>
      <c r="AR11" s="8">
        <v>2</v>
      </c>
      <c r="AT11" s="8">
        <v>4</v>
      </c>
      <c r="AU11" s="8">
        <v>5</v>
      </c>
      <c r="AV11" s="8">
        <v>2</v>
      </c>
      <c r="AW11" s="8">
        <v>4</v>
      </c>
      <c r="AZ11" s="68">
        <v>14</v>
      </c>
      <c r="BA11" s="68">
        <v>8</v>
      </c>
      <c r="BB11" s="68">
        <v>4</v>
      </c>
      <c r="BC11" s="68">
        <v>11</v>
      </c>
      <c r="BF11" s="73">
        <v>14</v>
      </c>
      <c r="BG11" s="73">
        <v>10</v>
      </c>
      <c r="BH11" s="73">
        <v>3</v>
      </c>
      <c r="BI11" s="73">
        <v>10</v>
      </c>
      <c r="BJ11" s="74" t="s">
        <v>289</v>
      </c>
      <c r="BL11" s="49">
        <v>2.8333333333333335</v>
      </c>
      <c r="BM11" s="55" t="s">
        <v>238</v>
      </c>
      <c r="BN11" s="49">
        <f t="shared" si="1"/>
        <v>11.583333333333334</v>
      </c>
      <c r="BO11" s="74" t="str">
        <f t="shared" si="2"/>
        <v>11-7</v>
      </c>
    </row>
    <row r="12" spans="1:67" x14ac:dyDescent="0.25">
      <c r="A12" s="1"/>
      <c r="B12" s="49">
        <v>2.583333333333333</v>
      </c>
      <c r="C12" s="8">
        <v>18</v>
      </c>
      <c r="D12" s="8">
        <v>1</v>
      </c>
      <c r="E12" s="8">
        <v>1</v>
      </c>
      <c r="I12" s="49">
        <f t="shared" si="0"/>
        <v>3.083333333333333</v>
      </c>
      <c r="J12" s="8">
        <v>18</v>
      </c>
      <c r="K12" s="8">
        <v>24</v>
      </c>
      <c r="L12" s="8">
        <v>1</v>
      </c>
      <c r="M12" s="8">
        <v>1.5</v>
      </c>
      <c r="S12" s="49">
        <f t="shared" ref="S12:S38" si="3">(T12+U12)/12+V12</f>
        <v>2.166666666666667</v>
      </c>
      <c r="T12" s="8">
        <v>12</v>
      </c>
      <c r="U12" s="8">
        <v>2</v>
      </c>
      <c r="V12" s="8">
        <v>1</v>
      </c>
      <c r="Z12" s="49">
        <f t="shared" ref="Z12:Z34" si="4">(AA12+AC12)/12+AD12</f>
        <v>2.395833333333333</v>
      </c>
      <c r="AA12" s="8">
        <v>14</v>
      </c>
      <c r="AB12" s="8">
        <v>23</v>
      </c>
      <c r="AC12" s="8">
        <v>2.75</v>
      </c>
      <c r="AD12" s="8">
        <v>1</v>
      </c>
      <c r="AH12" s="49">
        <f t="shared" ref="AH12:AH30" si="5">(AI12+AJ12)/12+AK12</f>
        <v>2.375</v>
      </c>
      <c r="AI12" s="55">
        <v>12</v>
      </c>
      <c r="AJ12" s="8">
        <v>1.5</v>
      </c>
      <c r="AK12" s="55" t="s">
        <v>90</v>
      </c>
      <c r="AO12" s="49">
        <v>3.1818181818181817</v>
      </c>
      <c r="AP12" s="8">
        <v>13</v>
      </c>
      <c r="AQ12" s="49">
        <v>1.1818181818181819</v>
      </c>
      <c r="AR12" s="8">
        <v>2</v>
      </c>
      <c r="AT12" s="8">
        <v>5</v>
      </c>
      <c r="AU12" s="8">
        <v>6</v>
      </c>
      <c r="AV12" s="8">
        <v>3</v>
      </c>
      <c r="AW12" s="8">
        <v>5</v>
      </c>
      <c r="AZ12" s="68">
        <v>16</v>
      </c>
      <c r="BA12" s="68">
        <v>10</v>
      </c>
      <c r="BB12" s="68">
        <v>5</v>
      </c>
      <c r="BC12" s="68">
        <v>10</v>
      </c>
      <c r="BF12" s="73">
        <v>15</v>
      </c>
      <c r="BG12" s="73">
        <v>10</v>
      </c>
      <c r="BH12" s="73">
        <v>3</v>
      </c>
      <c r="BI12" s="73">
        <v>10</v>
      </c>
      <c r="BJ12" s="74" t="s">
        <v>290</v>
      </c>
      <c r="BL12" s="49">
        <v>3</v>
      </c>
      <c r="BM12" s="55" t="s">
        <v>248</v>
      </c>
      <c r="BN12" s="49">
        <f t="shared" si="1"/>
        <v>13</v>
      </c>
      <c r="BO12" s="74" t="str">
        <f t="shared" si="2"/>
        <v>13-0</v>
      </c>
    </row>
    <row r="13" spans="1:67" x14ac:dyDescent="0.25">
      <c r="A13" s="1"/>
      <c r="B13" s="49">
        <v>2.833333333333333</v>
      </c>
      <c r="C13" s="8">
        <v>21</v>
      </c>
      <c r="D13" s="8">
        <v>1</v>
      </c>
      <c r="E13" s="8">
        <v>1</v>
      </c>
      <c r="I13" s="49">
        <f t="shared" si="0"/>
        <v>3.35</v>
      </c>
      <c r="J13" s="8">
        <v>20</v>
      </c>
      <c r="K13" s="8">
        <v>28</v>
      </c>
      <c r="L13" s="8">
        <v>1</v>
      </c>
      <c r="M13" s="8">
        <v>1.6</v>
      </c>
      <c r="S13" s="49">
        <f t="shared" si="3"/>
        <v>2.4375</v>
      </c>
      <c r="T13" s="8">
        <v>15</v>
      </c>
      <c r="U13" s="8">
        <v>2.25</v>
      </c>
      <c r="V13" s="8">
        <v>1</v>
      </c>
      <c r="Z13" s="49">
        <f t="shared" si="4"/>
        <v>2.854166666666667</v>
      </c>
      <c r="AA13" s="8">
        <v>19</v>
      </c>
      <c r="AB13" s="8">
        <v>30</v>
      </c>
      <c r="AC13" s="8">
        <v>3.25</v>
      </c>
      <c r="AD13" s="8">
        <v>1</v>
      </c>
      <c r="AH13" s="49">
        <f t="shared" si="5"/>
        <v>2.625</v>
      </c>
      <c r="AI13" s="55">
        <v>15</v>
      </c>
      <c r="AJ13" s="8">
        <v>1.5</v>
      </c>
      <c r="AK13" s="55" t="s">
        <v>90</v>
      </c>
      <c r="AO13" s="49">
        <v>3.2727272727272725</v>
      </c>
      <c r="AP13" s="8">
        <v>14</v>
      </c>
      <c r="AQ13" s="49">
        <v>1.2727272727272727</v>
      </c>
      <c r="AR13" s="8">
        <v>2</v>
      </c>
      <c r="AT13" s="8">
        <v>6</v>
      </c>
      <c r="AU13" s="8">
        <v>7</v>
      </c>
      <c r="AV13" s="8">
        <v>3</v>
      </c>
      <c r="AW13" s="8">
        <v>6</v>
      </c>
      <c r="AZ13" s="68">
        <v>20</v>
      </c>
      <c r="BA13" s="68">
        <v>10</v>
      </c>
      <c r="BB13" s="68">
        <v>5</v>
      </c>
      <c r="BC13" s="68">
        <v>10</v>
      </c>
      <c r="BF13" s="73">
        <v>16</v>
      </c>
      <c r="BG13" s="73">
        <v>12</v>
      </c>
      <c r="BH13" s="73">
        <v>3</v>
      </c>
      <c r="BI13" s="73">
        <v>10</v>
      </c>
      <c r="BJ13" s="74" t="s">
        <v>289</v>
      </c>
      <c r="BL13" s="49">
        <v>3.25</v>
      </c>
      <c r="BM13" s="55" t="s">
        <v>214</v>
      </c>
      <c r="BN13" s="49">
        <f t="shared" si="1"/>
        <v>14.416666666666666</v>
      </c>
      <c r="BO13" s="74" t="str">
        <f t="shared" si="2"/>
        <v>14-5</v>
      </c>
    </row>
    <row r="14" spans="1:67" x14ac:dyDescent="0.25">
      <c r="A14" s="1"/>
      <c r="B14" s="49">
        <v>3.0833333333333335</v>
      </c>
      <c r="C14" s="8">
        <v>24</v>
      </c>
      <c r="D14" s="8">
        <v>1</v>
      </c>
      <c r="E14" s="8">
        <v>1</v>
      </c>
      <c r="I14" s="49">
        <f t="shared" si="0"/>
        <v>3.6833333333333336</v>
      </c>
      <c r="J14" s="8">
        <v>24</v>
      </c>
      <c r="K14" s="8">
        <v>35</v>
      </c>
      <c r="L14" s="8">
        <v>1</v>
      </c>
      <c r="M14" s="8">
        <v>1.6</v>
      </c>
      <c r="S14" s="49">
        <f t="shared" si="3"/>
        <v>2.708333333333333</v>
      </c>
      <c r="T14" s="8">
        <v>18</v>
      </c>
      <c r="U14" s="8">
        <v>2.5</v>
      </c>
      <c r="V14" s="8">
        <v>1</v>
      </c>
      <c r="Z14" s="49">
        <f t="shared" si="4"/>
        <v>3.125</v>
      </c>
      <c r="AA14" s="8">
        <v>22</v>
      </c>
      <c r="AB14" s="8">
        <v>34</v>
      </c>
      <c r="AC14" s="8">
        <v>3.5</v>
      </c>
      <c r="AD14" s="8">
        <v>1</v>
      </c>
      <c r="AH14" s="49">
        <f t="shared" si="5"/>
        <v>2.875</v>
      </c>
      <c r="AI14" s="55">
        <v>18</v>
      </c>
      <c r="AJ14" s="8">
        <v>1.5</v>
      </c>
      <c r="AK14" s="55" t="s">
        <v>90</v>
      </c>
      <c r="AO14" s="49">
        <v>3.3624999999999998</v>
      </c>
      <c r="AP14" s="8">
        <v>15</v>
      </c>
      <c r="AQ14" s="8">
        <v>1.3499999999999996</v>
      </c>
      <c r="AR14" s="8">
        <v>2</v>
      </c>
      <c r="AT14" s="8">
        <v>7</v>
      </c>
      <c r="AU14" s="8">
        <v>8</v>
      </c>
      <c r="AV14" s="8">
        <v>3</v>
      </c>
      <c r="AW14" s="8">
        <v>7</v>
      </c>
      <c r="AZ14" s="68">
        <v>24</v>
      </c>
      <c r="BA14" s="68">
        <v>10</v>
      </c>
      <c r="BB14" s="68">
        <v>6</v>
      </c>
      <c r="BC14" s="68">
        <v>10</v>
      </c>
      <c r="BF14" s="73">
        <v>17</v>
      </c>
      <c r="BG14" s="73">
        <v>12</v>
      </c>
      <c r="BH14" s="73">
        <v>3</v>
      </c>
      <c r="BI14" s="73">
        <v>10</v>
      </c>
      <c r="BJ14" s="74" t="s">
        <v>290</v>
      </c>
      <c r="BL14" s="49">
        <v>3.4166666666666665</v>
      </c>
      <c r="BM14" s="55" t="s">
        <v>228</v>
      </c>
      <c r="BN14" s="49">
        <f t="shared" si="1"/>
        <v>10.583333333333334</v>
      </c>
      <c r="BO14" s="74" t="str">
        <f t="shared" si="2"/>
        <v>10-7</v>
      </c>
    </row>
    <row r="15" spans="1:67" x14ac:dyDescent="0.25">
      <c r="A15" s="1"/>
      <c r="B15" s="49">
        <v>3.3333333333333335</v>
      </c>
      <c r="C15" s="8">
        <v>27</v>
      </c>
      <c r="D15" s="8">
        <v>1</v>
      </c>
      <c r="E15" s="8">
        <v>1</v>
      </c>
      <c r="I15" s="49">
        <f t="shared" si="0"/>
        <v>4.0999999999999996</v>
      </c>
      <c r="J15" s="8">
        <v>29</v>
      </c>
      <c r="K15" s="8">
        <v>42</v>
      </c>
      <c r="L15" s="8">
        <v>1</v>
      </c>
      <c r="M15" s="8">
        <v>1.6</v>
      </c>
      <c r="S15" s="49">
        <f t="shared" si="3"/>
        <v>2.979166666666667</v>
      </c>
      <c r="T15" s="8">
        <v>21</v>
      </c>
      <c r="U15" s="8">
        <v>2.75</v>
      </c>
      <c r="V15" s="8">
        <v>1</v>
      </c>
      <c r="Z15" s="49">
        <f t="shared" si="4"/>
        <v>3.3125</v>
      </c>
      <c r="AA15" s="8">
        <v>24</v>
      </c>
      <c r="AB15" s="8">
        <v>38</v>
      </c>
      <c r="AC15" s="8">
        <v>3.75</v>
      </c>
      <c r="AD15" s="8">
        <v>1</v>
      </c>
      <c r="AH15" s="49">
        <f t="shared" si="5"/>
        <v>3.125</v>
      </c>
      <c r="AI15" s="55">
        <v>21</v>
      </c>
      <c r="AJ15" s="8">
        <v>1.5</v>
      </c>
      <c r="AK15" s="55" t="s">
        <v>90</v>
      </c>
      <c r="AO15" s="49">
        <v>3.6416666666666666</v>
      </c>
      <c r="AP15" s="8">
        <v>18</v>
      </c>
      <c r="AQ15" s="8">
        <v>1.6999999999999993</v>
      </c>
      <c r="AR15" s="8">
        <v>2</v>
      </c>
      <c r="AT15" s="8">
        <v>8</v>
      </c>
      <c r="AU15" s="8">
        <v>8</v>
      </c>
      <c r="AV15" s="8">
        <v>4</v>
      </c>
      <c r="AW15" s="8">
        <v>8</v>
      </c>
      <c r="AZ15" s="68">
        <v>28</v>
      </c>
      <c r="BA15" s="68">
        <v>10</v>
      </c>
      <c r="BB15" s="68">
        <v>8</v>
      </c>
      <c r="BC15" s="68">
        <v>11</v>
      </c>
      <c r="BF15" s="73">
        <v>18</v>
      </c>
      <c r="BG15" s="73">
        <v>12</v>
      </c>
      <c r="BH15" s="73">
        <v>3</v>
      </c>
      <c r="BI15" s="73">
        <v>10</v>
      </c>
      <c r="BJ15" s="74" t="s">
        <v>289</v>
      </c>
      <c r="BL15" s="49">
        <v>3.5</v>
      </c>
      <c r="BM15" s="55" t="s">
        <v>257</v>
      </c>
      <c r="BN15" s="49">
        <f t="shared" si="1"/>
        <v>15.833333333333334</v>
      </c>
      <c r="BO15" s="74" t="str">
        <f t="shared" si="2"/>
        <v>15-10</v>
      </c>
    </row>
    <row r="16" spans="1:67" x14ac:dyDescent="0.25">
      <c r="A16" s="1"/>
      <c r="B16" s="49">
        <v>3.5833333333333335</v>
      </c>
      <c r="C16" s="8">
        <v>30</v>
      </c>
      <c r="D16" s="8">
        <v>1</v>
      </c>
      <c r="E16" s="8">
        <v>1</v>
      </c>
      <c r="I16" s="49">
        <f t="shared" si="0"/>
        <v>4.4333333333333336</v>
      </c>
      <c r="J16" s="8">
        <v>33</v>
      </c>
      <c r="K16" s="8">
        <v>49</v>
      </c>
      <c r="L16" s="8">
        <v>1</v>
      </c>
      <c r="M16" s="8">
        <v>1.6</v>
      </c>
      <c r="S16" s="49">
        <f t="shared" si="3"/>
        <v>3.25</v>
      </c>
      <c r="T16" s="8">
        <v>24</v>
      </c>
      <c r="U16" s="8">
        <v>3</v>
      </c>
      <c r="V16" s="8">
        <v>1</v>
      </c>
      <c r="Z16" s="49">
        <f t="shared" si="4"/>
        <v>3.5625</v>
      </c>
      <c r="AA16" s="8">
        <v>27</v>
      </c>
      <c r="AB16" s="8">
        <v>42</v>
      </c>
      <c r="AC16" s="8">
        <v>3.75</v>
      </c>
      <c r="AD16" s="8">
        <v>1</v>
      </c>
      <c r="AH16" s="49">
        <f t="shared" si="5"/>
        <v>3.375</v>
      </c>
      <c r="AI16" s="55">
        <v>24</v>
      </c>
      <c r="AJ16" s="8">
        <v>1.5</v>
      </c>
      <c r="AK16" s="55" t="s">
        <v>90</v>
      </c>
      <c r="AO16" s="49">
        <v>3.8181818181818183</v>
      </c>
      <c r="AP16" s="8">
        <v>20</v>
      </c>
      <c r="AQ16" s="49">
        <v>1.8181818181818181</v>
      </c>
      <c r="AR16" s="8">
        <v>2</v>
      </c>
      <c r="AT16" s="8">
        <v>9</v>
      </c>
      <c r="AU16" s="8">
        <v>9</v>
      </c>
      <c r="AV16" s="8">
        <v>5</v>
      </c>
      <c r="AW16" s="8">
        <v>9</v>
      </c>
      <c r="AZ16" s="68">
        <v>32</v>
      </c>
      <c r="BA16" s="68">
        <v>12</v>
      </c>
      <c r="BB16" s="68">
        <v>8</v>
      </c>
      <c r="BC16" s="68">
        <v>12</v>
      </c>
      <c r="BF16" s="73">
        <v>19</v>
      </c>
      <c r="BG16" s="73">
        <v>12</v>
      </c>
      <c r="BH16" s="73">
        <v>3</v>
      </c>
      <c r="BI16" s="73">
        <v>10</v>
      </c>
      <c r="BJ16" s="74" t="s">
        <v>290</v>
      </c>
      <c r="BL16" s="49">
        <v>3.5833333333333335</v>
      </c>
      <c r="BM16" s="55" t="s">
        <v>240</v>
      </c>
      <c r="BN16" s="49">
        <f t="shared" si="1"/>
        <v>11.916666666666666</v>
      </c>
      <c r="BO16" s="74" t="str">
        <f t="shared" si="2"/>
        <v>11-11</v>
      </c>
    </row>
    <row r="17" spans="1:67" x14ac:dyDescent="0.25">
      <c r="A17" s="1"/>
      <c r="B17" s="49">
        <v>3.8333333333333335</v>
      </c>
      <c r="C17" s="8">
        <v>33</v>
      </c>
      <c r="D17" s="8">
        <v>1</v>
      </c>
      <c r="E17" s="8">
        <v>1</v>
      </c>
      <c r="I17" s="49">
        <f t="shared" si="0"/>
        <v>4.8499999999999996</v>
      </c>
      <c r="J17" s="8">
        <v>38</v>
      </c>
      <c r="K17" s="8">
        <v>57</v>
      </c>
      <c r="L17" s="8">
        <v>1</v>
      </c>
      <c r="M17" s="8">
        <v>1.6</v>
      </c>
      <c r="S17" s="49">
        <f t="shared" si="3"/>
        <v>3.5208333333333335</v>
      </c>
      <c r="T17" s="8">
        <v>27</v>
      </c>
      <c r="U17" s="8">
        <v>3.25</v>
      </c>
      <c r="V17" s="8">
        <v>1</v>
      </c>
      <c r="Z17" s="49">
        <f t="shared" si="4"/>
        <v>3.7916666666666665</v>
      </c>
      <c r="AA17" s="8">
        <v>29</v>
      </c>
      <c r="AB17" s="8">
        <v>45</v>
      </c>
      <c r="AC17" s="8">
        <v>4.5</v>
      </c>
      <c r="AD17" s="8">
        <v>1</v>
      </c>
      <c r="AH17" s="49">
        <f t="shared" si="5"/>
        <v>3.875</v>
      </c>
      <c r="AI17" s="55">
        <v>30</v>
      </c>
      <c r="AJ17" s="8">
        <v>1.5</v>
      </c>
      <c r="AK17" s="55" t="s">
        <v>90</v>
      </c>
      <c r="AO17" s="49">
        <v>3.916666666666667</v>
      </c>
      <c r="AP17" s="8">
        <v>21</v>
      </c>
      <c r="AQ17" s="8">
        <v>2</v>
      </c>
      <c r="AR17" s="8">
        <v>2</v>
      </c>
      <c r="AT17" s="8">
        <v>10</v>
      </c>
      <c r="AU17" s="8">
        <v>10</v>
      </c>
      <c r="AV17" s="8">
        <v>5</v>
      </c>
      <c r="AW17" s="8">
        <v>10</v>
      </c>
      <c r="AZ17" s="68">
        <v>36</v>
      </c>
      <c r="BA17" s="68">
        <v>12</v>
      </c>
      <c r="BB17" s="68">
        <v>9</v>
      </c>
      <c r="BC17" s="68">
        <v>13</v>
      </c>
      <c r="BF17" s="73">
        <v>20</v>
      </c>
      <c r="BG17" s="73">
        <v>12</v>
      </c>
      <c r="BH17" s="73">
        <v>3</v>
      </c>
      <c r="BI17" s="73">
        <v>10</v>
      </c>
      <c r="BJ17" s="74" t="s">
        <v>289</v>
      </c>
      <c r="BL17" s="49">
        <v>3.8333333333333335</v>
      </c>
      <c r="BM17" s="55" t="s">
        <v>249</v>
      </c>
      <c r="BN17" s="49">
        <f t="shared" si="1"/>
        <v>17.75</v>
      </c>
      <c r="BO17" s="74" t="str">
        <f t="shared" si="2"/>
        <v>17-9</v>
      </c>
    </row>
    <row r="18" spans="1:67" x14ac:dyDescent="0.25">
      <c r="A18" s="1"/>
      <c r="B18" s="49">
        <v>4.0833333333333339</v>
      </c>
      <c r="C18" s="8">
        <v>36</v>
      </c>
      <c r="D18" s="8">
        <v>1</v>
      </c>
      <c r="E18" s="8">
        <v>1</v>
      </c>
      <c r="I18" s="49">
        <f t="shared" si="0"/>
        <v>5.2666666666666666</v>
      </c>
      <c r="J18" s="8">
        <v>43</v>
      </c>
      <c r="K18" s="8">
        <v>64</v>
      </c>
      <c r="L18" s="8">
        <v>1</v>
      </c>
      <c r="M18" s="8">
        <v>1.6</v>
      </c>
      <c r="S18" s="49">
        <f t="shared" si="3"/>
        <v>3.7916666666666665</v>
      </c>
      <c r="T18" s="8">
        <v>30</v>
      </c>
      <c r="U18" s="8">
        <v>3.5</v>
      </c>
      <c r="V18" s="8">
        <v>1</v>
      </c>
      <c r="Z18" s="49">
        <f t="shared" si="4"/>
        <v>4.0625</v>
      </c>
      <c r="AA18" s="8">
        <v>32</v>
      </c>
      <c r="AB18" s="8">
        <v>49</v>
      </c>
      <c r="AC18" s="8">
        <v>4.75</v>
      </c>
      <c r="AD18" s="8">
        <v>1</v>
      </c>
      <c r="AH18" s="49">
        <f t="shared" si="5"/>
        <v>4.375</v>
      </c>
      <c r="AI18" s="55">
        <v>36</v>
      </c>
      <c r="AJ18" s="8">
        <v>1.5</v>
      </c>
      <c r="AK18" s="55" t="s">
        <v>90</v>
      </c>
      <c r="AO18" s="49">
        <v>4</v>
      </c>
      <c r="AP18" s="8">
        <v>22</v>
      </c>
      <c r="AQ18" s="49">
        <v>2</v>
      </c>
      <c r="AR18" s="8">
        <v>2</v>
      </c>
      <c r="AT18" s="8">
        <v>11</v>
      </c>
      <c r="AU18" s="8">
        <v>11</v>
      </c>
      <c r="AV18" s="8">
        <v>4</v>
      </c>
      <c r="AW18" s="8">
        <v>11</v>
      </c>
      <c r="AZ18" s="68">
        <v>42</v>
      </c>
      <c r="BA18" s="68">
        <v>12</v>
      </c>
      <c r="BB18" s="68">
        <v>10</v>
      </c>
      <c r="BC18" s="68">
        <v>14</v>
      </c>
      <c r="BF18" s="73">
        <v>21</v>
      </c>
      <c r="BG18" s="73">
        <v>14</v>
      </c>
      <c r="BH18" s="73">
        <v>3</v>
      </c>
      <c r="BI18" s="73">
        <v>10</v>
      </c>
      <c r="BJ18" s="74" t="s">
        <v>290</v>
      </c>
      <c r="BL18" s="49">
        <v>4.083333333333333</v>
      </c>
      <c r="BM18" s="55" t="s">
        <v>216</v>
      </c>
      <c r="BN18" s="49">
        <f t="shared" si="1"/>
        <v>14.666666666666666</v>
      </c>
      <c r="BO18" s="74" t="str">
        <f t="shared" si="2"/>
        <v>14-8</v>
      </c>
    </row>
    <row r="19" spans="1:67" x14ac:dyDescent="0.25">
      <c r="A19" s="1"/>
      <c r="B19" s="49">
        <v>4.5833333333333339</v>
      </c>
      <c r="C19" s="8">
        <v>42</v>
      </c>
      <c r="D19" s="8">
        <v>1</v>
      </c>
      <c r="E19" s="8">
        <v>1</v>
      </c>
      <c r="I19" s="49">
        <f t="shared" si="0"/>
        <v>5.6</v>
      </c>
      <c r="J19" s="8">
        <v>47</v>
      </c>
      <c r="K19" s="8">
        <v>71</v>
      </c>
      <c r="L19" s="8">
        <v>1</v>
      </c>
      <c r="M19" s="8">
        <v>1.6</v>
      </c>
      <c r="S19" s="49">
        <f t="shared" si="3"/>
        <v>4.0625</v>
      </c>
      <c r="T19" s="8">
        <v>33</v>
      </c>
      <c r="U19" s="8">
        <v>3.75</v>
      </c>
      <c r="V19" s="8">
        <v>1</v>
      </c>
      <c r="Z19" s="49">
        <f t="shared" si="4"/>
        <v>4.25</v>
      </c>
      <c r="AA19" s="8">
        <v>34</v>
      </c>
      <c r="AB19" s="8">
        <v>53</v>
      </c>
      <c r="AC19" s="8">
        <v>5</v>
      </c>
      <c r="AD19" s="8">
        <v>1</v>
      </c>
      <c r="AH19" s="49">
        <f t="shared" si="5"/>
        <v>4.875</v>
      </c>
      <c r="AI19" s="55">
        <v>42</v>
      </c>
      <c r="AJ19" s="8">
        <v>1.5</v>
      </c>
      <c r="AK19" s="55" t="s">
        <v>90</v>
      </c>
      <c r="AO19" s="49">
        <v>4.3874999999999993</v>
      </c>
      <c r="AP19" s="8">
        <v>23</v>
      </c>
      <c r="AQ19" s="8">
        <v>5.6499999999999986</v>
      </c>
      <c r="AR19" s="8">
        <v>2</v>
      </c>
      <c r="AT19" s="8">
        <v>12</v>
      </c>
      <c r="AU19" s="8">
        <v>12</v>
      </c>
      <c r="AV19" s="8">
        <v>4</v>
      </c>
      <c r="AW19" s="8">
        <v>12</v>
      </c>
      <c r="AZ19" s="68">
        <v>48</v>
      </c>
      <c r="BA19" s="68">
        <v>12</v>
      </c>
      <c r="BB19" s="68">
        <v>11</v>
      </c>
      <c r="BC19" s="68">
        <v>12</v>
      </c>
      <c r="BF19" s="73">
        <v>22</v>
      </c>
      <c r="BG19" s="73">
        <v>14</v>
      </c>
      <c r="BH19" s="73">
        <v>3</v>
      </c>
      <c r="BI19" s="73">
        <v>10</v>
      </c>
      <c r="BJ19" s="74" t="s">
        <v>289</v>
      </c>
      <c r="BL19" s="49">
        <v>4.166666666666667</v>
      </c>
      <c r="BM19" s="55" t="s">
        <v>268</v>
      </c>
      <c r="BN19" s="49">
        <f t="shared" si="1"/>
        <v>19.083333333333332</v>
      </c>
      <c r="BO19" s="74" t="str">
        <f t="shared" si="2"/>
        <v>19-1</v>
      </c>
    </row>
    <row r="20" spans="1:67" x14ac:dyDescent="0.25">
      <c r="A20" s="1"/>
      <c r="B20" s="49">
        <v>5.083333333333333</v>
      </c>
      <c r="C20" s="8">
        <v>48</v>
      </c>
      <c r="D20" s="8">
        <v>1</v>
      </c>
      <c r="E20" s="8">
        <v>1</v>
      </c>
      <c r="I20" s="49">
        <f t="shared" si="0"/>
        <v>6.0166666666666675</v>
      </c>
      <c r="J20" s="8">
        <v>52</v>
      </c>
      <c r="K20" s="8">
        <v>77</v>
      </c>
      <c r="L20" s="8">
        <v>1</v>
      </c>
      <c r="M20" s="8">
        <v>1.6</v>
      </c>
      <c r="S20" s="49">
        <f t="shared" si="3"/>
        <v>4.3333333333333339</v>
      </c>
      <c r="T20" s="8">
        <v>36</v>
      </c>
      <c r="U20" s="8">
        <v>4</v>
      </c>
      <c r="V20" s="8">
        <v>1</v>
      </c>
      <c r="Z20" s="49">
        <f t="shared" si="4"/>
        <v>4.625</v>
      </c>
      <c r="AA20" s="8">
        <v>38</v>
      </c>
      <c r="AB20" s="8">
        <v>60</v>
      </c>
      <c r="AC20" s="8">
        <v>5.5</v>
      </c>
      <c r="AD20" s="8">
        <v>1</v>
      </c>
      <c r="AH20" s="49">
        <f t="shared" si="5"/>
        <v>5.375</v>
      </c>
      <c r="AI20" s="55">
        <v>48</v>
      </c>
      <c r="AJ20" s="8">
        <v>1.5</v>
      </c>
      <c r="AK20" s="55" t="s">
        <v>90</v>
      </c>
      <c r="AO20" s="49">
        <v>4.1818181818181817</v>
      </c>
      <c r="AP20" s="8">
        <v>24</v>
      </c>
      <c r="AQ20" s="49">
        <v>2.1818181818181817</v>
      </c>
      <c r="AR20" s="8">
        <v>2</v>
      </c>
      <c r="AT20" s="8">
        <v>13</v>
      </c>
      <c r="AU20" s="8">
        <v>12</v>
      </c>
      <c r="AV20" s="8">
        <v>4</v>
      </c>
      <c r="AW20" s="8">
        <v>8</v>
      </c>
      <c r="BF20" s="73">
        <v>23</v>
      </c>
      <c r="BG20" s="73">
        <v>14</v>
      </c>
      <c r="BH20" s="73">
        <v>3</v>
      </c>
      <c r="BI20" s="73">
        <v>10</v>
      </c>
      <c r="BJ20" s="74" t="s">
        <v>290</v>
      </c>
      <c r="BL20" s="49">
        <v>4.25</v>
      </c>
      <c r="BM20" s="55" t="s">
        <v>229</v>
      </c>
      <c r="BN20" s="49">
        <f t="shared" si="1"/>
        <v>16</v>
      </c>
      <c r="BO20" s="74" t="str">
        <f t="shared" si="2"/>
        <v>16-0</v>
      </c>
    </row>
    <row r="21" spans="1:67" x14ac:dyDescent="0.25">
      <c r="A21" s="1"/>
      <c r="B21" s="49">
        <v>5.583333333333333</v>
      </c>
      <c r="C21" s="8">
        <v>54</v>
      </c>
      <c r="D21" s="8">
        <v>1</v>
      </c>
      <c r="E21" s="8">
        <v>1</v>
      </c>
      <c r="I21" s="49">
        <f t="shared" si="0"/>
        <v>6.333333333333333</v>
      </c>
      <c r="J21" s="8">
        <v>57</v>
      </c>
      <c r="K21" s="8">
        <v>83</v>
      </c>
      <c r="L21" s="8">
        <v>1</v>
      </c>
      <c r="M21" s="8">
        <v>1.5</v>
      </c>
      <c r="S21" s="49">
        <f t="shared" si="3"/>
        <v>4.875</v>
      </c>
      <c r="T21" s="8">
        <v>42</v>
      </c>
      <c r="U21" s="8">
        <v>4.5</v>
      </c>
      <c r="V21" s="8">
        <v>1</v>
      </c>
      <c r="Z21" s="49">
        <f t="shared" si="4"/>
        <v>5.083333333333333</v>
      </c>
      <c r="AA21" s="8">
        <v>43</v>
      </c>
      <c r="AB21" s="8">
        <v>68</v>
      </c>
      <c r="AC21" s="8">
        <v>6</v>
      </c>
      <c r="AD21" s="8">
        <v>1</v>
      </c>
      <c r="AH21" s="49">
        <f t="shared" si="5"/>
        <v>5.875</v>
      </c>
      <c r="AI21" s="55">
        <v>54</v>
      </c>
      <c r="AJ21" s="8">
        <v>1.5</v>
      </c>
      <c r="AK21" s="55" t="s">
        <v>90</v>
      </c>
      <c r="AO21" s="49">
        <v>4.4166666666666661</v>
      </c>
      <c r="AP21" s="8">
        <v>27</v>
      </c>
      <c r="AQ21" s="8">
        <v>2</v>
      </c>
      <c r="AR21" s="8">
        <v>2</v>
      </c>
      <c r="AT21" s="8">
        <v>14</v>
      </c>
      <c r="AU21" s="8">
        <v>12</v>
      </c>
      <c r="AV21" s="8">
        <v>4</v>
      </c>
      <c r="AW21" s="8">
        <v>8</v>
      </c>
      <c r="BF21" s="73">
        <v>24</v>
      </c>
      <c r="BG21" s="73">
        <v>14</v>
      </c>
      <c r="BH21" s="73">
        <v>3</v>
      </c>
      <c r="BI21" s="73">
        <v>10</v>
      </c>
      <c r="BJ21" s="74" t="s">
        <v>289</v>
      </c>
      <c r="BL21" s="49">
        <v>4.416666666666667</v>
      </c>
      <c r="BM21" s="55" t="s">
        <v>242</v>
      </c>
      <c r="BN21" s="49">
        <f t="shared" si="1"/>
        <v>12.25</v>
      </c>
      <c r="BO21" s="74" t="str">
        <f t="shared" si="2"/>
        <v>12-3</v>
      </c>
    </row>
    <row r="22" spans="1:67" x14ac:dyDescent="0.25">
      <c r="A22" s="1"/>
      <c r="B22" s="49">
        <v>6.083333333333333</v>
      </c>
      <c r="C22" s="8">
        <v>60</v>
      </c>
      <c r="D22" s="8">
        <v>1</v>
      </c>
      <c r="E22" s="8">
        <v>1</v>
      </c>
      <c r="S22" s="49">
        <f t="shared" si="3"/>
        <v>5.416666666666667</v>
      </c>
      <c r="T22" s="8">
        <v>48</v>
      </c>
      <c r="U22" s="8">
        <v>5</v>
      </c>
      <c r="V22" s="8">
        <v>1</v>
      </c>
      <c r="Z22" s="49">
        <f t="shared" si="4"/>
        <v>5.541666666666667</v>
      </c>
      <c r="AA22" s="8">
        <v>48</v>
      </c>
      <c r="AB22" s="8">
        <v>76</v>
      </c>
      <c r="AC22" s="8">
        <v>6.5</v>
      </c>
      <c r="AD22" s="8">
        <v>1</v>
      </c>
      <c r="AH22" s="49">
        <f t="shared" si="5"/>
        <v>6.375</v>
      </c>
      <c r="AI22" s="55">
        <v>60</v>
      </c>
      <c r="AJ22" s="8">
        <v>1.5</v>
      </c>
      <c r="AK22" s="55" t="s">
        <v>90</v>
      </c>
      <c r="AO22" s="49">
        <v>4.545454545454545</v>
      </c>
      <c r="AP22" s="8">
        <v>28</v>
      </c>
      <c r="AQ22" s="49">
        <v>2.5454545454545454</v>
      </c>
      <c r="AR22" s="8">
        <v>2</v>
      </c>
      <c r="AT22" s="8">
        <v>15</v>
      </c>
      <c r="AU22" s="8">
        <v>12</v>
      </c>
      <c r="AV22" s="8">
        <v>4</v>
      </c>
      <c r="AW22" s="8">
        <v>8</v>
      </c>
      <c r="BF22" s="73">
        <v>25</v>
      </c>
      <c r="BG22" s="73">
        <v>14</v>
      </c>
      <c r="BH22" s="73">
        <v>3</v>
      </c>
      <c r="BI22" s="73">
        <v>10</v>
      </c>
      <c r="BJ22" s="74" t="s">
        <v>290</v>
      </c>
      <c r="BL22" s="49">
        <v>4.5</v>
      </c>
      <c r="BM22" s="55" t="s">
        <v>273</v>
      </c>
      <c r="BN22" s="49">
        <f t="shared" si="1"/>
        <v>20.333333333333332</v>
      </c>
      <c r="BO22" s="74" t="str">
        <f t="shared" si="2"/>
        <v>20-4</v>
      </c>
    </row>
    <row r="23" spans="1:67" x14ac:dyDescent="0.25">
      <c r="A23" s="1"/>
      <c r="B23" s="49">
        <v>6.583333333333333</v>
      </c>
      <c r="C23" s="8">
        <v>66</v>
      </c>
      <c r="D23" s="8">
        <v>1</v>
      </c>
      <c r="E23" s="8">
        <v>1</v>
      </c>
      <c r="S23" s="49">
        <f t="shared" si="3"/>
        <v>5.958333333333333</v>
      </c>
      <c r="T23" s="8">
        <v>54</v>
      </c>
      <c r="U23" s="8">
        <v>5.5</v>
      </c>
      <c r="V23" s="8">
        <v>1</v>
      </c>
      <c r="Z23" s="49">
        <f t="shared" si="4"/>
        <v>6</v>
      </c>
      <c r="AA23" s="8">
        <v>53</v>
      </c>
      <c r="AB23" s="8">
        <v>83</v>
      </c>
      <c r="AC23" s="8">
        <v>7</v>
      </c>
      <c r="AD23" s="8">
        <v>1</v>
      </c>
      <c r="AH23" s="49">
        <f t="shared" si="5"/>
        <v>6.875</v>
      </c>
      <c r="AI23" s="55">
        <v>66</v>
      </c>
      <c r="AJ23" s="8">
        <v>1.5</v>
      </c>
      <c r="AK23" s="55" t="s">
        <v>90</v>
      </c>
      <c r="AO23" s="49">
        <v>4.6875</v>
      </c>
      <c r="AP23" s="8">
        <v>30</v>
      </c>
      <c r="AQ23" s="8">
        <v>2.25</v>
      </c>
      <c r="AR23" s="8">
        <v>2</v>
      </c>
      <c r="AT23" s="8">
        <v>16</v>
      </c>
      <c r="AU23" s="8">
        <v>12</v>
      </c>
      <c r="AV23" s="8">
        <v>4</v>
      </c>
      <c r="AW23" s="8">
        <v>8</v>
      </c>
      <c r="BF23" s="73">
        <v>26</v>
      </c>
      <c r="BG23" s="73">
        <v>16</v>
      </c>
      <c r="BH23" s="73">
        <v>3</v>
      </c>
      <c r="BI23" s="73">
        <v>10</v>
      </c>
      <c r="BJ23" s="74" t="s">
        <v>289</v>
      </c>
      <c r="BL23" s="49">
        <v>4.583333333333333</v>
      </c>
      <c r="BM23" s="55" t="s">
        <v>250</v>
      </c>
      <c r="BN23" s="49">
        <f t="shared" si="1"/>
        <v>18.166666666666668</v>
      </c>
      <c r="BO23" s="74" t="str">
        <f t="shared" si="2"/>
        <v>18-2</v>
      </c>
    </row>
    <row r="24" spans="1:67" x14ac:dyDescent="0.25">
      <c r="A24" s="1"/>
      <c r="B24" s="49">
        <v>7.083333333333333</v>
      </c>
      <c r="C24" s="8">
        <v>72</v>
      </c>
      <c r="D24" s="8">
        <v>1</v>
      </c>
      <c r="E24" s="8">
        <v>1</v>
      </c>
      <c r="I24" s="1" t="s">
        <v>74</v>
      </c>
      <c r="J24" s="1"/>
      <c r="K24" s="1" t="s">
        <v>112</v>
      </c>
      <c r="S24" s="49">
        <f t="shared" si="3"/>
        <v>6.5</v>
      </c>
      <c r="T24" s="8">
        <v>60</v>
      </c>
      <c r="U24" s="8">
        <v>6</v>
      </c>
      <c r="V24" s="8">
        <v>1</v>
      </c>
      <c r="Z24" s="49">
        <f t="shared" si="4"/>
        <v>6.458333333333333</v>
      </c>
      <c r="AA24" s="8">
        <v>58</v>
      </c>
      <c r="AB24" s="8">
        <v>91</v>
      </c>
      <c r="AC24" s="8">
        <v>7.5</v>
      </c>
      <c r="AD24" s="8">
        <v>1</v>
      </c>
      <c r="AH24" s="49">
        <f t="shared" si="5"/>
        <v>7.375</v>
      </c>
      <c r="AI24" s="55">
        <v>72</v>
      </c>
      <c r="AJ24" s="8">
        <v>1.5</v>
      </c>
      <c r="AK24" s="55" t="s">
        <v>90</v>
      </c>
      <c r="AO24" s="49">
        <v>4.9090909090909083</v>
      </c>
      <c r="AP24" s="8">
        <v>32</v>
      </c>
      <c r="AQ24" s="49">
        <v>2.9090909090909092</v>
      </c>
      <c r="AR24" s="8">
        <v>2</v>
      </c>
      <c r="AT24" s="8">
        <v>17</v>
      </c>
      <c r="AU24" s="8">
        <v>13</v>
      </c>
      <c r="AV24" s="8">
        <v>4</v>
      </c>
      <c r="AW24" s="8">
        <v>8</v>
      </c>
      <c r="BF24" s="73">
        <v>27</v>
      </c>
      <c r="BG24" s="73">
        <v>16</v>
      </c>
      <c r="BH24" s="73">
        <v>3</v>
      </c>
      <c r="BI24" s="73">
        <v>10</v>
      </c>
      <c r="BJ24" s="74" t="s">
        <v>290</v>
      </c>
      <c r="BL24" s="49">
        <v>4.833333333333333</v>
      </c>
      <c r="BM24" s="55" t="s">
        <v>218</v>
      </c>
      <c r="BN24" s="49">
        <f t="shared" si="1"/>
        <v>14.833333333333334</v>
      </c>
      <c r="BO24" s="74" t="str">
        <f t="shared" si="2"/>
        <v>14-10</v>
      </c>
    </row>
    <row r="25" spans="1:67" x14ac:dyDescent="0.25">
      <c r="A25" s="1"/>
      <c r="B25" s="49">
        <v>7.583333333333333</v>
      </c>
      <c r="C25" s="8">
        <v>78</v>
      </c>
      <c r="D25" s="8">
        <v>1</v>
      </c>
      <c r="E25" s="8">
        <v>1</v>
      </c>
      <c r="S25" s="49">
        <f t="shared" si="3"/>
        <v>7.041666666666667</v>
      </c>
      <c r="T25" s="8">
        <v>66</v>
      </c>
      <c r="U25" s="8">
        <v>6.5</v>
      </c>
      <c r="V25" s="8">
        <v>1</v>
      </c>
      <c r="Z25" s="49">
        <f t="shared" si="4"/>
        <v>7.0166666666666675</v>
      </c>
      <c r="AA25" s="8">
        <v>63</v>
      </c>
      <c r="AB25" s="8">
        <v>98</v>
      </c>
      <c r="AC25" s="8">
        <v>8</v>
      </c>
      <c r="AD25" s="8">
        <v>1.1000000000000001</v>
      </c>
      <c r="AH25" s="49">
        <f t="shared" si="5"/>
        <v>7.875</v>
      </c>
      <c r="AI25" s="55">
        <v>78</v>
      </c>
      <c r="AJ25" s="8">
        <v>1.5</v>
      </c>
      <c r="AK25" s="55" t="s">
        <v>90</v>
      </c>
      <c r="AO25" s="49">
        <v>4.9625000000000004</v>
      </c>
      <c r="AP25" s="8">
        <v>33</v>
      </c>
      <c r="AQ25" s="8">
        <v>2.5500000000000007</v>
      </c>
      <c r="AR25" s="8">
        <v>2</v>
      </c>
      <c r="AT25" s="8">
        <v>18</v>
      </c>
      <c r="AU25" s="8">
        <v>13</v>
      </c>
      <c r="AV25" s="8">
        <v>4</v>
      </c>
      <c r="AW25" s="8">
        <v>8</v>
      </c>
      <c r="BF25" s="73">
        <v>28</v>
      </c>
      <c r="BG25" s="73">
        <v>16</v>
      </c>
      <c r="BH25" s="73">
        <v>3</v>
      </c>
      <c r="BI25" s="73">
        <v>10</v>
      </c>
      <c r="BJ25" s="74" t="s">
        <v>289</v>
      </c>
      <c r="BL25" s="49">
        <v>4.916666666666667</v>
      </c>
      <c r="BM25" s="55" t="s">
        <v>269</v>
      </c>
      <c r="BN25" s="49">
        <f t="shared" si="1"/>
        <v>21.583333333333332</v>
      </c>
      <c r="BO25" s="74" t="str">
        <f t="shared" si="2"/>
        <v>21-7</v>
      </c>
    </row>
    <row r="26" spans="1:67" x14ac:dyDescent="0.25">
      <c r="A26" s="1"/>
      <c r="B26" s="49">
        <v>8.0833333333333321</v>
      </c>
      <c r="C26" s="8">
        <v>84</v>
      </c>
      <c r="D26" s="8">
        <v>1</v>
      </c>
      <c r="E26" s="8">
        <v>1</v>
      </c>
      <c r="I26" s="8" t="s">
        <v>62</v>
      </c>
      <c r="J26" s="8"/>
      <c r="L26" s="8" t="s">
        <v>60</v>
      </c>
      <c r="M26" s="8" t="s">
        <v>61</v>
      </c>
      <c r="S26" s="49">
        <f t="shared" si="3"/>
        <v>7.583333333333333</v>
      </c>
      <c r="T26" s="8">
        <v>72</v>
      </c>
      <c r="U26" s="8">
        <v>7</v>
      </c>
      <c r="V26" s="8">
        <v>1</v>
      </c>
      <c r="Z26" s="49">
        <f t="shared" si="4"/>
        <v>7.5750000000000002</v>
      </c>
      <c r="AA26" s="8">
        <v>68</v>
      </c>
      <c r="AB26" s="8">
        <v>106</v>
      </c>
      <c r="AC26" s="8">
        <v>8.5</v>
      </c>
      <c r="AD26" s="8">
        <v>1.2</v>
      </c>
      <c r="AH26" s="49">
        <f t="shared" si="5"/>
        <v>8.375</v>
      </c>
      <c r="AI26" s="55">
        <v>84</v>
      </c>
      <c r="AJ26" s="8">
        <v>1.5</v>
      </c>
      <c r="AK26" s="55" t="s">
        <v>90</v>
      </c>
      <c r="AO26" s="49">
        <v>5.0909090909090917</v>
      </c>
      <c r="AP26" s="8">
        <v>34</v>
      </c>
      <c r="AQ26" s="49">
        <v>3.0909090909090908</v>
      </c>
      <c r="AR26" s="8">
        <v>2</v>
      </c>
      <c r="AT26" s="8">
        <v>19</v>
      </c>
      <c r="AU26" s="8">
        <v>14</v>
      </c>
      <c r="AV26" s="8">
        <v>4</v>
      </c>
      <c r="AW26" s="8">
        <v>8</v>
      </c>
      <c r="BF26" s="73">
        <v>29</v>
      </c>
      <c r="BG26" s="73">
        <v>16</v>
      </c>
      <c r="BH26" s="73">
        <v>3</v>
      </c>
      <c r="BI26" s="73">
        <v>10</v>
      </c>
      <c r="BJ26" s="74" t="s">
        <v>290</v>
      </c>
      <c r="BL26" s="49">
        <v>5</v>
      </c>
      <c r="BM26" s="55" t="s">
        <v>230</v>
      </c>
      <c r="BN26" s="49">
        <f t="shared" si="1"/>
        <v>11.333333333333334</v>
      </c>
      <c r="BO26" s="74" t="str">
        <f t="shared" si="2"/>
        <v>11-4</v>
      </c>
    </row>
    <row r="27" spans="1:67" x14ac:dyDescent="0.25">
      <c r="A27" s="1"/>
      <c r="B27" s="49">
        <v>8.6666666666666679</v>
      </c>
      <c r="C27" s="8">
        <v>90</v>
      </c>
      <c r="D27" s="8">
        <v>2</v>
      </c>
      <c r="E27" s="8">
        <v>1</v>
      </c>
      <c r="I27" s="8" t="s">
        <v>66</v>
      </c>
      <c r="J27" s="8" t="s">
        <v>54</v>
      </c>
      <c r="K27" s="8" t="s">
        <v>49</v>
      </c>
      <c r="L27" s="8" t="s">
        <v>64</v>
      </c>
      <c r="M27" s="8" t="s">
        <v>65</v>
      </c>
      <c r="S27" s="49">
        <f t="shared" si="3"/>
        <v>8.125</v>
      </c>
      <c r="T27" s="8">
        <v>78</v>
      </c>
      <c r="U27" s="8">
        <v>7.5</v>
      </c>
      <c r="V27" s="8">
        <v>1</v>
      </c>
      <c r="Z27" s="49">
        <f t="shared" si="4"/>
        <v>7.95</v>
      </c>
      <c r="AA27" s="8">
        <v>72</v>
      </c>
      <c r="AB27" s="8">
        <v>113</v>
      </c>
      <c r="AC27" s="8">
        <v>9</v>
      </c>
      <c r="AD27" s="8">
        <v>1.2</v>
      </c>
      <c r="AH27" s="49">
        <f t="shared" si="5"/>
        <v>10.375</v>
      </c>
      <c r="AI27" s="55">
        <v>90</v>
      </c>
      <c r="AJ27" s="8">
        <v>1.5</v>
      </c>
      <c r="AK27" s="55" t="s">
        <v>91</v>
      </c>
      <c r="AO27" s="49">
        <v>5.2125000000000004</v>
      </c>
      <c r="AP27" s="8">
        <v>36</v>
      </c>
      <c r="AQ27" s="8">
        <v>2.5500000000000007</v>
      </c>
      <c r="AR27" s="8">
        <v>2</v>
      </c>
      <c r="AT27" s="8">
        <v>20</v>
      </c>
      <c r="AU27" s="8">
        <v>14</v>
      </c>
      <c r="AV27" s="8">
        <v>4</v>
      </c>
      <c r="AW27" s="8">
        <v>8</v>
      </c>
      <c r="BF27" s="73">
        <v>30</v>
      </c>
      <c r="BG27" s="73">
        <v>16</v>
      </c>
      <c r="BH27" s="73">
        <v>3</v>
      </c>
      <c r="BI27" s="73">
        <v>10</v>
      </c>
      <c r="BJ27" s="74" t="s">
        <v>289</v>
      </c>
      <c r="BL27" s="49">
        <v>5.083333333333333</v>
      </c>
      <c r="BM27" s="55" t="s">
        <v>258</v>
      </c>
      <c r="BN27" s="49">
        <f t="shared" si="1"/>
        <v>16.166666666666668</v>
      </c>
      <c r="BO27" s="74" t="str">
        <f t="shared" si="2"/>
        <v>16-2</v>
      </c>
    </row>
    <row r="28" spans="1:67" x14ac:dyDescent="0.25">
      <c r="A28" s="1"/>
      <c r="B28" s="49">
        <v>9.1666666666666661</v>
      </c>
      <c r="C28" s="8">
        <v>96</v>
      </c>
      <c r="D28" s="8">
        <v>2</v>
      </c>
      <c r="E28" s="8">
        <v>1</v>
      </c>
      <c r="I28" s="11" t="s">
        <v>53</v>
      </c>
      <c r="J28" s="11" t="s">
        <v>48</v>
      </c>
      <c r="K28" s="11" t="s">
        <v>48</v>
      </c>
      <c r="L28" s="11" t="s">
        <v>48</v>
      </c>
      <c r="M28" s="11" t="s">
        <v>53</v>
      </c>
      <c r="S28" s="49">
        <f t="shared" si="3"/>
        <v>8.6666666666666679</v>
      </c>
      <c r="T28" s="8">
        <v>84</v>
      </c>
      <c r="U28" s="8">
        <v>8</v>
      </c>
      <c r="V28" s="8">
        <v>1</v>
      </c>
      <c r="Z28" s="49">
        <f t="shared" si="4"/>
        <v>8.5083333333333329</v>
      </c>
      <c r="AA28" s="8">
        <v>77</v>
      </c>
      <c r="AB28" s="8">
        <v>121</v>
      </c>
      <c r="AC28" s="8">
        <v>9.5</v>
      </c>
      <c r="AD28" s="8">
        <v>1.3</v>
      </c>
      <c r="AH28" s="49">
        <f t="shared" si="5"/>
        <v>10.875</v>
      </c>
      <c r="AI28" s="55">
        <v>96</v>
      </c>
      <c r="AJ28" s="8">
        <v>1.5</v>
      </c>
      <c r="AK28" s="55" t="s">
        <v>91</v>
      </c>
      <c r="AO28" s="49">
        <v>5.8181818181818183</v>
      </c>
      <c r="AP28" s="8">
        <v>42</v>
      </c>
      <c r="AQ28" s="49">
        <v>3.8181818181818183</v>
      </c>
      <c r="AR28" s="8">
        <v>2</v>
      </c>
      <c r="AT28" s="8">
        <v>21</v>
      </c>
      <c r="AU28" s="8">
        <v>15</v>
      </c>
      <c r="AV28" s="8">
        <v>4</v>
      </c>
      <c r="AW28" s="8">
        <v>8</v>
      </c>
      <c r="BF28" s="73">
        <v>32</v>
      </c>
      <c r="BG28" s="73">
        <v>14</v>
      </c>
      <c r="BH28" s="73">
        <v>4</v>
      </c>
      <c r="BI28" s="73">
        <v>12</v>
      </c>
      <c r="BJ28" s="74" t="s">
        <v>290</v>
      </c>
      <c r="BL28" s="49">
        <v>5.166666666666667</v>
      </c>
      <c r="BM28" s="55" t="s">
        <v>244</v>
      </c>
      <c r="BN28" s="49">
        <f t="shared" si="1"/>
        <v>12.583333333333334</v>
      </c>
      <c r="BO28" s="74" t="str">
        <f t="shared" si="2"/>
        <v>12-7</v>
      </c>
    </row>
    <row r="29" spans="1:67" x14ac:dyDescent="0.25">
      <c r="A29" s="1"/>
      <c r="B29" s="49">
        <v>9.7666666666666657</v>
      </c>
      <c r="C29" s="8">
        <v>102</v>
      </c>
      <c r="D29" s="8">
        <v>2</v>
      </c>
      <c r="E29" s="8">
        <v>1.1000000000000001</v>
      </c>
      <c r="I29" s="1"/>
      <c r="J29" s="1"/>
      <c r="K29" s="1"/>
      <c r="S29" s="49">
        <f t="shared" si="3"/>
        <v>9.2083333333333339</v>
      </c>
      <c r="T29" s="8">
        <v>90</v>
      </c>
      <c r="U29" s="8">
        <v>8.5</v>
      </c>
      <c r="V29" s="8">
        <v>1</v>
      </c>
      <c r="Z29" s="49">
        <f t="shared" si="4"/>
        <v>9.0458333333333325</v>
      </c>
      <c r="AA29" s="8">
        <v>82</v>
      </c>
      <c r="AB29" s="8">
        <v>128</v>
      </c>
      <c r="AC29" s="8">
        <v>9.75</v>
      </c>
      <c r="AD29" s="8">
        <v>1.4</v>
      </c>
      <c r="AH29" s="49">
        <f t="shared" si="5"/>
        <v>11.375</v>
      </c>
      <c r="AI29" s="55">
        <v>102</v>
      </c>
      <c r="AJ29" s="8">
        <v>1.5</v>
      </c>
      <c r="AK29" s="55" t="s">
        <v>91</v>
      </c>
      <c r="AO29" s="49">
        <v>6.270833333333333</v>
      </c>
      <c r="AP29" s="8">
        <v>48</v>
      </c>
      <c r="AQ29" s="8">
        <v>3.25</v>
      </c>
      <c r="AR29" s="8">
        <v>2</v>
      </c>
      <c r="AT29" s="8">
        <v>22</v>
      </c>
      <c r="AU29" s="8">
        <v>15</v>
      </c>
      <c r="AV29" s="8">
        <v>4</v>
      </c>
      <c r="AW29" s="8">
        <v>8</v>
      </c>
      <c r="BF29" s="73">
        <v>34</v>
      </c>
      <c r="BG29" s="73">
        <v>14</v>
      </c>
      <c r="BH29" s="73">
        <v>4</v>
      </c>
      <c r="BI29" s="73">
        <v>12</v>
      </c>
      <c r="BJ29" s="74" t="s">
        <v>290</v>
      </c>
      <c r="BL29" s="49">
        <v>5.25</v>
      </c>
      <c r="BM29" s="55" t="s">
        <v>274</v>
      </c>
      <c r="BN29" s="49">
        <f t="shared" si="1"/>
        <v>20.583333333333332</v>
      </c>
      <c r="BO29" s="74" t="str">
        <f t="shared" si="2"/>
        <v>20-7</v>
      </c>
    </row>
    <row r="30" spans="1:67" x14ac:dyDescent="0.25">
      <c r="A30" s="1"/>
      <c r="B30" s="49">
        <v>10.266666666666666</v>
      </c>
      <c r="C30" s="8">
        <v>108</v>
      </c>
      <c r="D30" s="8">
        <v>2</v>
      </c>
      <c r="E30" s="8">
        <v>1.1000000000000001</v>
      </c>
      <c r="I30" s="8">
        <v>0</v>
      </c>
      <c r="J30" s="8" t="s">
        <v>67</v>
      </c>
      <c r="K30" s="8" t="s">
        <v>67</v>
      </c>
      <c r="S30" s="49">
        <f t="shared" si="3"/>
        <v>9.75</v>
      </c>
      <c r="T30" s="8">
        <v>96</v>
      </c>
      <c r="U30" s="8">
        <v>9</v>
      </c>
      <c r="V30" s="8">
        <v>1</v>
      </c>
      <c r="Z30" s="49">
        <f t="shared" si="4"/>
        <v>9.5833333333333339</v>
      </c>
      <c r="AA30" s="8">
        <v>87</v>
      </c>
      <c r="AB30" s="8">
        <v>136</v>
      </c>
      <c r="AC30" s="8">
        <v>10</v>
      </c>
      <c r="AD30" s="8">
        <v>1.5</v>
      </c>
      <c r="AH30" s="49">
        <f t="shared" si="5"/>
        <v>11.875</v>
      </c>
      <c r="AI30" s="55">
        <v>108</v>
      </c>
      <c r="AJ30" s="8">
        <v>1.5</v>
      </c>
      <c r="AK30" s="55" t="s">
        <v>91</v>
      </c>
      <c r="AO30" s="49">
        <v>9.5958333333333332</v>
      </c>
      <c r="AP30" s="8">
        <v>60</v>
      </c>
      <c r="AQ30" s="8">
        <v>3.5499999999999972</v>
      </c>
      <c r="AR30" s="8">
        <v>4.3</v>
      </c>
      <c r="AT30" s="8">
        <v>23</v>
      </c>
      <c r="AU30" s="8">
        <v>16</v>
      </c>
      <c r="AV30" s="8">
        <v>4</v>
      </c>
      <c r="AW30" s="8">
        <v>8</v>
      </c>
      <c r="BF30" s="73">
        <v>36</v>
      </c>
      <c r="BG30" s="73">
        <v>14</v>
      </c>
      <c r="BH30" s="73">
        <v>6</v>
      </c>
      <c r="BI30" s="73">
        <v>12</v>
      </c>
      <c r="BJ30" s="74" t="s">
        <v>290</v>
      </c>
      <c r="BL30" s="49">
        <v>5.333333333333333</v>
      </c>
      <c r="BM30" s="55" t="s">
        <v>263</v>
      </c>
      <c r="BN30" s="49">
        <f t="shared" si="1"/>
        <v>22.75</v>
      </c>
      <c r="BO30" s="74" t="str">
        <f t="shared" si="2"/>
        <v>22-9</v>
      </c>
    </row>
    <row r="31" spans="1:67" x14ac:dyDescent="0.25">
      <c r="A31" s="1"/>
      <c r="B31" s="49">
        <v>10.866666666666665</v>
      </c>
      <c r="C31" s="8">
        <v>114</v>
      </c>
      <c r="D31" s="8">
        <v>2</v>
      </c>
      <c r="E31" s="8">
        <v>1.2</v>
      </c>
      <c r="I31" s="49">
        <f t="shared" ref="I31:I42" si="6">(J31+L31)/12+M31</f>
        <v>5.0999999999999996</v>
      </c>
      <c r="J31" s="8">
        <v>46</v>
      </c>
      <c r="K31" s="8">
        <v>60</v>
      </c>
      <c r="L31" s="8">
        <v>2</v>
      </c>
      <c r="M31" s="8">
        <v>1.1000000000000001</v>
      </c>
      <c r="S31" s="49">
        <f t="shared" si="3"/>
        <v>10.291666666666666</v>
      </c>
      <c r="T31" s="8">
        <v>102</v>
      </c>
      <c r="U31" s="8">
        <v>9.5</v>
      </c>
      <c r="V31" s="8">
        <v>1</v>
      </c>
      <c r="Z31" s="49">
        <f t="shared" si="4"/>
        <v>10.041666666666666</v>
      </c>
      <c r="AA31" s="8">
        <v>92</v>
      </c>
      <c r="AB31" s="8">
        <v>143</v>
      </c>
      <c r="AC31" s="8">
        <v>10.5</v>
      </c>
      <c r="AD31" s="8">
        <v>1.5</v>
      </c>
      <c r="AT31" s="8">
        <v>24</v>
      </c>
      <c r="AU31" s="8">
        <v>16</v>
      </c>
      <c r="AV31" s="8">
        <v>4</v>
      </c>
      <c r="AW31" s="8">
        <v>8</v>
      </c>
      <c r="BF31" s="73">
        <v>38</v>
      </c>
      <c r="BG31" s="73">
        <v>15</v>
      </c>
      <c r="BH31" s="73">
        <v>6</v>
      </c>
      <c r="BI31" s="73">
        <v>12</v>
      </c>
      <c r="BJ31" s="74" t="s">
        <v>290</v>
      </c>
      <c r="BL31" s="49">
        <v>5.416666666666667</v>
      </c>
      <c r="BM31" s="55" t="s">
        <v>251</v>
      </c>
      <c r="BN31" s="49">
        <f t="shared" si="1"/>
        <v>13.833333333333334</v>
      </c>
      <c r="BO31" s="74" t="str">
        <f t="shared" si="2"/>
        <v>13-10</v>
      </c>
    </row>
    <row r="32" spans="1:67" x14ac:dyDescent="0.25">
      <c r="A32" s="1"/>
      <c r="B32" s="49">
        <v>11.466666666666667</v>
      </c>
      <c r="C32" s="8">
        <v>120</v>
      </c>
      <c r="D32" s="8">
        <v>2</v>
      </c>
      <c r="E32" s="8">
        <v>1.3</v>
      </c>
      <c r="I32" s="49">
        <f t="shared" si="6"/>
        <v>5.5166666666666675</v>
      </c>
      <c r="J32" s="8">
        <v>51</v>
      </c>
      <c r="K32" s="8">
        <v>66</v>
      </c>
      <c r="L32" s="8">
        <v>2</v>
      </c>
      <c r="M32" s="8">
        <v>1.1000000000000001</v>
      </c>
      <c r="S32" s="49">
        <f t="shared" si="3"/>
        <v>10.833333333333334</v>
      </c>
      <c r="T32" s="8">
        <v>108</v>
      </c>
      <c r="U32" s="8">
        <v>10</v>
      </c>
      <c r="V32" s="8">
        <v>1</v>
      </c>
      <c r="Z32" s="49">
        <f t="shared" si="4"/>
        <v>10.6</v>
      </c>
      <c r="AA32" s="8">
        <v>97</v>
      </c>
      <c r="AB32" s="8">
        <v>151</v>
      </c>
      <c r="AC32" s="8">
        <v>11</v>
      </c>
      <c r="AD32" s="8">
        <v>1.6</v>
      </c>
      <c r="BF32" s="73">
        <v>40</v>
      </c>
      <c r="BG32" s="73">
        <v>16</v>
      </c>
      <c r="BH32" s="73">
        <v>6</v>
      </c>
      <c r="BI32" s="73">
        <v>12</v>
      </c>
      <c r="BJ32" s="74" t="s">
        <v>290</v>
      </c>
      <c r="BL32" s="49">
        <v>5.583333333333333</v>
      </c>
      <c r="BM32" s="55" t="s">
        <v>220</v>
      </c>
      <c r="BN32" s="49">
        <f t="shared" si="1"/>
        <v>10.5</v>
      </c>
      <c r="BO32" s="74" t="str">
        <f t="shared" si="2"/>
        <v>10-6</v>
      </c>
    </row>
    <row r="33" spans="1:67" x14ac:dyDescent="0.25">
      <c r="A33" s="1"/>
      <c r="B33" s="49">
        <v>11.966666666666667</v>
      </c>
      <c r="C33" s="8">
        <v>126</v>
      </c>
      <c r="D33" s="8">
        <v>2</v>
      </c>
      <c r="E33" s="8">
        <v>1.3</v>
      </c>
      <c r="I33" s="49">
        <f t="shared" si="6"/>
        <v>5.85</v>
      </c>
      <c r="J33" s="8">
        <v>55</v>
      </c>
      <c r="K33" s="8">
        <v>73</v>
      </c>
      <c r="L33" s="8">
        <v>2</v>
      </c>
      <c r="M33" s="8">
        <v>1.1000000000000001</v>
      </c>
      <c r="S33" s="49">
        <f t="shared" si="3"/>
        <v>11.291666666666666</v>
      </c>
      <c r="T33" s="8">
        <v>114</v>
      </c>
      <c r="U33" s="8">
        <v>9.5</v>
      </c>
      <c r="V33" s="8">
        <v>1</v>
      </c>
      <c r="Z33" s="49">
        <f t="shared" si="4"/>
        <v>11.533333333333333</v>
      </c>
      <c r="AA33" s="8">
        <v>106</v>
      </c>
      <c r="AB33" s="8">
        <v>166</v>
      </c>
      <c r="AC33" s="8">
        <v>12</v>
      </c>
      <c r="AD33" s="8">
        <v>1.7</v>
      </c>
      <c r="BL33" s="49">
        <v>5.666666666666667</v>
      </c>
      <c r="BM33" s="55" t="s">
        <v>253</v>
      </c>
      <c r="BN33" s="49">
        <f t="shared" si="1"/>
        <v>21.833333333333332</v>
      </c>
      <c r="BO33" s="74" t="str">
        <f t="shared" si="2"/>
        <v>21-10</v>
      </c>
    </row>
    <row r="34" spans="1:67" x14ac:dyDescent="0.25">
      <c r="A34" s="1"/>
      <c r="B34" s="49">
        <v>12.566666666666666</v>
      </c>
      <c r="C34" s="8">
        <v>132</v>
      </c>
      <c r="D34" s="8">
        <v>2</v>
      </c>
      <c r="E34" s="8">
        <v>1.4</v>
      </c>
      <c r="I34" s="49">
        <f t="shared" si="6"/>
        <v>6.2833333333333332</v>
      </c>
      <c r="J34" s="8">
        <v>59</v>
      </c>
      <c r="K34" s="8">
        <v>81</v>
      </c>
      <c r="L34" s="8">
        <v>2</v>
      </c>
      <c r="M34" s="8">
        <v>1.2</v>
      </c>
      <c r="S34" s="49">
        <f t="shared" si="3"/>
        <v>11.833333333333334</v>
      </c>
      <c r="T34" s="8">
        <v>120</v>
      </c>
      <c r="U34" s="8">
        <v>10</v>
      </c>
      <c r="V34" s="8">
        <v>1</v>
      </c>
      <c r="Y34" s="1"/>
      <c r="Z34" s="49">
        <f t="shared" si="4"/>
        <v>12.55</v>
      </c>
      <c r="AA34" s="8">
        <v>116</v>
      </c>
      <c r="AB34" s="8">
        <v>180</v>
      </c>
      <c r="AC34" s="8">
        <v>13</v>
      </c>
      <c r="AD34" s="8">
        <v>1.8</v>
      </c>
      <c r="BL34" s="49">
        <v>5.75</v>
      </c>
      <c r="BM34" s="55" t="s">
        <v>232</v>
      </c>
      <c r="BN34" s="49">
        <f t="shared" si="1"/>
        <v>24</v>
      </c>
      <c r="BO34" s="74" t="str">
        <f t="shared" si="2"/>
        <v>24-0</v>
      </c>
    </row>
    <row r="35" spans="1:67" x14ac:dyDescent="0.25">
      <c r="A35" s="1"/>
      <c r="B35" s="49">
        <v>13.066666666666666</v>
      </c>
      <c r="C35" s="8">
        <v>138</v>
      </c>
      <c r="D35" s="8">
        <v>2</v>
      </c>
      <c r="E35" s="8">
        <v>1.4</v>
      </c>
      <c r="I35" s="49">
        <f t="shared" si="6"/>
        <v>6.6166666666666671</v>
      </c>
      <c r="J35" s="8">
        <v>63</v>
      </c>
      <c r="K35" s="8">
        <v>87</v>
      </c>
      <c r="L35" s="8">
        <v>2</v>
      </c>
      <c r="M35" s="8">
        <v>1.2</v>
      </c>
      <c r="S35" s="49">
        <f t="shared" si="3"/>
        <v>12.375</v>
      </c>
      <c r="T35" s="8">
        <v>126</v>
      </c>
      <c r="U35" s="8">
        <v>10.5</v>
      </c>
      <c r="V35" s="8">
        <v>1</v>
      </c>
      <c r="Y35" s="1"/>
      <c r="Z35" s="1"/>
      <c r="AA35" s="1"/>
      <c r="BL35" s="49">
        <v>5.916666666666667</v>
      </c>
      <c r="BM35" s="55" t="s">
        <v>259</v>
      </c>
      <c r="BN35" s="49">
        <f t="shared" si="1"/>
        <v>16.333333333333332</v>
      </c>
      <c r="BO35" s="74" t="str">
        <f t="shared" si="2"/>
        <v>16-4</v>
      </c>
    </row>
    <row r="36" spans="1:67" x14ac:dyDescent="0.25">
      <c r="A36" s="1"/>
      <c r="B36" s="49">
        <v>13.666666666666666</v>
      </c>
      <c r="C36" s="8">
        <v>144</v>
      </c>
      <c r="D36" s="8">
        <v>2</v>
      </c>
      <c r="E36" s="8">
        <v>1.5</v>
      </c>
      <c r="I36" s="49">
        <f t="shared" si="6"/>
        <v>6.95</v>
      </c>
      <c r="J36" s="8">
        <v>67</v>
      </c>
      <c r="K36" s="8">
        <v>95</v>
      </c>
      <c r="L36" s="8">
        <v>2</v>
      </c>
      <c r="M36" s="8">
        <v>1.2</v>
      </c>
      <c r="S36" s="49">
        <f t="shared" si="3"/>
        <v>12.916666666666666</v>
      </c>
      <c r="T36" s="8">
        <v>132</v>
      </c>
      <c r="U36" s="8">
        <v>11</v>
      </c>
      <c r="V36" s="8">
        <v>1</v>
      </c>
      <c r="Y36" s="1"/>
      <c r="Z36" s="1"/>
      <c r="AA36" s="1"/>
      <c r="BL36" s="49">
        <v>6</v>
      </c>
      <c r="BM36" s="55" t="s">
        <v>246</v>
      </c>
      <c r="BN36" s="49">
        <f t="shared" si="1"/>
        <v>12.916666666666666</v>
      </c>
      <c r="BO36" s="74" t="str">
        <f t="shared" si="2"/>
        <v>12-11</v>
      </c>
    </row>
    <row r="37" spans="1:67" x14ac:dyDescent="0.25">
      <c r="A37" s="1"/>
      <c r="B37" s="1"/>
      <c r="C37" s="1"/>
      <c r="I37" s="49">
        <f t="shared" si="6"/>
        <v>7.2833333333333332</v>
      </c>
      <c r="J37" s="8">
        <v>71</v>
      </c>
      <c r="K37" s="8">
        <v>103</v>
      </c>
      <c r="L37" s="8">
        <v>2</v>
      </c>
      <c r="M37" s="8">
        <v>1.2</v>
      </c>
      <c r="S37" s="49">
        <f t="shared" si="3"/>
        <v>13.458333333333334</v>
      </c>
      <c r="T37" s="8">
        <v>138</v>
      </c>
      <c r="U37" s="8">
        <v>11.5</v>
      </c>
      <c r="V37" s="8">
        <v>1</v>
      </c>
      <c r="Y37" s="1"/>
      <c r="Z37" s="1"/>
      <c r="AA37" s="1"/>
      <c r="BL37" s="49">
        <v>6.083333333333333</v>
      </c>
      <c r="BM37" s="55" t="s">
        <v>264</v>
      </c>
      <c r="BN37" s="49">
        <f t="shared" si="1"/>
        <v>23</v>
      </c>
      <c r="BO37" s="74" t="str">
        <f t="shared" si="2"/>
        <v>23-0</v>
      </c>
    </row>
    <row r="38" spans="1:67" x14ac:dyDescent="0.25">
      <c r="A38" s="1"/>
      <c r="B38" s="1"/>
      <c r="C38" s="1"/>
      <c r="I38" s="49">
        <f t="shared" si="6"/>
        <v>7.7166666666666668</v>
      </c>
      <c r="J38" s="8">
        <v>75</v>
      </c>
      <c r="K38" s="8">
        <v>112</v>
      </c>
      <c r="L38" s="8">
        <v>2</v>
      </c>
      <c r="M38" s="8">
        <v>1.3</v>
      </c>
      <c r="S38" s="49">
        <f t="shared" si="3"/>
        <v>14</v>
      </c>
      <c r="T38" s="8">
        <v>144</v>
      </c>
      <c r="U38" s="8">
        <v>12</v>
      </c>
      <c r="V38" s="8">
        <v>1</v>
      </c>
      <c r="Y38" s="1"/>
      <c r="Z38" s="1"/>
      <c r="AA38" s="1"/>
      <c r="BL38" s="49">
        <v>6.166666666666667</v>
      </c>
      <c r="BM38" s="55" t="s">
        <v>252</v>
      </c>
      <c r="BN38" s="49">
        <f t="shared" si="1"/>
        <v>25.166666666666668</v>
      </c>
      <c r="BO38" s="74" t="str">
        <f t="shared" si="2"/>
        <v>25-2</v>
      </c>
    </row>
    <row r="39" spans="1:67" x14ac:dyDescent="0.25">
      <c r="A39" s="1"/>
      <c r="B39" s="1"/>
      <c r="C39" s="1"/>
      <c r="I39" s="49">
        <f t="shared" si="6"/>
        <v>7.95</v>
      </c>
      <c r="J39" s="8">
        <v>79</v>
      </c>
      <c r="K39" s="8">
        <v>117</v>
      </c>
      <c r="L39" s="8">
        <v>2</v>
      </c>
      <c r="M39" s="8">
        <v>1.2</v>
      </c>
      <c r="R39" s="1"/>
      <c r="S39" s="1"/>
      <c r="T39" s="1"/>
      <c r="Y39" s="1"/>
      <c r="Z39" s="1"/>
      <c r="AA39" s="1"/>
      <c r="BL39" s="49">
        <v>6.333333333333333</v>
      </c>
      <c r="BM39" s="55" t="s">
        <v>222</v>
      </c>
      <c r="BN39" s="49">
        <f t="shared" si="1"/>
        <v>10.916666666666666</v>
      </c>
      <c r="BO39" s="74" t="str">
        <f t="shared" si="2"/>
        <v>10-11</v>
      </c>
    </row>
    <row r="40" spans="1:67" x14ac:dyDescent="0.25">
      <c r="A40" s="1"/>
      <c r="B40" s="1"/>
      <c r="C40" s="1"/>
      <c r="I40" s="49">
        <f t="shared" si="6"/>
        <v>8.3833333333333329</v>
      </c>
      <c r="J40" s="8">
        <v>83</v>
      </c>
      <c r="K40" s="8">
        <v>128</v>
      </c>
      <c r="L40" s="8">
        <v>2</v>
      </c>
      <c r="M40" s="8">
        <v>1.3</v>
      </c>
      <c r="R40" s="1"/>
      <c r="S40" s="1"/>
      <c r="T40" s="1"/>
      <c r="Y40" s="1"/>
      <c r="Z40" s="1"/>
      <c r="AA40" s="1"/>
      <c r="BL40" s="49">
        <v>6.416666666666667</v>
      </c>
      <c r="BM40" s="55" t="s">
        <v>254</v>
      </c>
      <c r="BN40" s="49">
        <f t="shared" si="1"/>
        <v>15.333333333333334</v>
      </c>
      <c r="BO40" s="74" t="str">
        <f t="shared" si="2"/>
        <v>15-4</v>
      </c>
    </row>
    <row r="41" spans="1:67" x14ac:dyDescent="0.25">
      <c r="A41" s="1"/>
      <c r="B41" s="1"/>
      <c r="C41" s="1"/>
      <c r="I41" s="49">
        <f t="shared" si="6"/>
        <v>8.7166666666666668</v>
      </c>
      <c r="J41" s="8">
        <v>87</v>
      </c>
      <c r="K41" s="8">
        <v>137</v>
      </c>
      <c r="L41" s="8">
        <v>2</v>
      </c>
      <c r="M41" s="8">
        <v>1.3</v>
      </c>
      <c r="R41" s="1" t="s">
        <v>113</v>
      </c>
      <c r="S41" s="1"/>
      <c r="T41" s="1"/>
      <c r="Y41" s="1"/>
      <c r="Z41" s="1"/>
      <c r="AA41" s="1"/>
      <c r="BL41" s="49">
        <v>6.5</v>
      </c>
      <c r="BM41" s="55" t="s">
        <v>270</v>
      </c>
      <c r="BN41" s="49">
        <f t="shared" si="1"/>
        <v>24.083333333333332</v>
      </c>
      <c r="BO41" s="74" t="str">
        <f t="shared" si="2"/>
        <v>24-1</v>
      </c>
    </row>
    <row r="42" spans="1:67" x14ac:dyDescent="0.25">
      <c r="A42" s="1"/>
      <c r="B42" s="1"/>
      <c r="C42" s="1"/>
      <c r="I42" s="49">
        <f t="shared" si="6"/>
        <v>9.0500000000000007</v>
      </c>
      <c r="J42" s="8">
        <v>91</v>
      </c>
      <c r="K42" s="8">
        <v>142</v>
      </c>
      <c r="L42" s="8">
        <v>2</v>
      </c>
      <c r="M42" s="8">
        <v>1.3</v>
      </c>
      <c r="R42" s="1"/>
      <c r="S42" s="1"/>
      <c r="T42" s="1"/>
      <c r="Y42" s="1"/>
      <c r="Z42" s="1"/>
      <c r="AA42" s="1"/>
      <c r="BL42" s="49">
        <v>6.583333333333333</v>
      </c>
      <c r="BM42" s="55" t="s">
        <v>234</v>
      </c>
      <c r="BN42" s="49">
        <f t="shared" si="1"/>
        <v>12.083333333333334</v>
      </c>
      <c r="BO42" s="74" t="str">
        <f t="shared" si="2"/>
        <v>12-1</v>
      </c>
    </row>
    <row r="43" spans="1:67" x14ac:dyDescent="0.25">
      <c r="A43" s="1"/>
      <c r="B43" s="1"/>
      <c r="C43" s="1"/>
      <c r="I43" s="1"/>
      <c r="J43" s="1"/>
      <c r="K43" s="1"/>
      <c r="R43" s="1"/>
      <c r="S43" s="1"/>
      <c r="T43" s="1"/>
      <c r="Y43" s="1"/>
      <c r="Z43" s="1"/>
      <c r="AA43" s="1"/>
      <c r="BL43" s="49">
        <v>6.666666666666667</v>
      </c>
      <c r="BM43" s="55" t="s">
        <v>260</v>
      </c>
      <c r="BN43" s="49">
        <f t="shared" si="1"/>
        <v>16.5</v>
      </c>
      <c r="BO43" s="74" t="str">
        <f t="shared" si="2"/>
        <v>16-6</v>
      </c>
    </row>
    <row r="44" spans="1:67" x14ac:dyDescent="0.25">
      <c r="A44" s="1"/>
      <c r="B44" s="1"/>
      <c r="C44" s="1"/>
      <c r="I44" s="1"/>
      <c r="J44" s="1"/>
      <c r="K44" s="1"/>
      <c r="R44" s="1"/>
      <c r="S44" s="1"/>
      <c r="T44" s="1"/>
      <c r="Y44" s="1"/>
      <c r="Z44" s="1"/>
      <c r="AA44" s="1"/>
      <c r="BL44" s="49">
        <v>6.75</v>
      </c>
      <c r="BM44" s="55" t="s">
        <v>247</v>
      </c>
      <c r="BN44" s="49">
        <f t="shared" si="1"/>
        <v>13.25</v>
      </c>
      <c r="BO44" s="74" t="str">
        <f t="shared" si="2"/>
        <v>13-3</v>
      </c>
    </row>
    <row r="45" spans="1:67" x14ac:dyDescent="0.25">
      <c r="A45" s="1"/>
      <c r="B45" s="1"/>
      <c r="C45" s="1"/>
      <c r="I45" s="1"/>
      <c r="J45" s="1"/>
      <c r="K45" s="1"/>
      <c r="R45" s="1"/>
      <c r="S45" s="1"/>
      <c r="T45" s="1"/>
      <c r="Y45" s="1"/>
      <c r="Z45" s="1"/>
      <c r="AA45" s="1"/>
      <c r="BL45" s="49">
        <v>6.833333333333333</v>
      </c>
      <c r="BM45" s="55" t="s">
        <v>275</v>
      </c>
      <c r="BN45" s="49">
        <f t="shared" si="1"/>
        <v>21.25</v>
      </c>
      <c r="BO45" s="74" t="str">
        <f t="shared" si="2"/>
        <v>21-3</v>
      </c>
    </row>
    <row r="46" spans="1:67" x14ac:dyDescent="0.25">
      <c r="A46" s="1"/>
      <c r="B46" s="1"/>
      <c r="C46" s="1"/>
      <c r="I46" s="1" t="s">
        <v>119</v>
      </c>
      <c r="J46" s="1"/>
      <c r="K46" s="1" t="s">
        <v>126</v>
      </c>
      <c r="R46" s="1"/>
      <c r="S46" s="1"/>
      <c r="T46" s="1"/>
      <c r="Y46" s="1"/>
      <c r="Z46" s="1"/>
      <c r="AA46" s="1"/>
      <c r="BL46" s="49">
        <v>6.916666666666667</v>
      </c>
      <c r="BM46" s="55" t="s">
        <v>265</v>
      </c>
      <c r="BN46" s="49">
        <f t="shared" si="1"/>
        <v>23.166666666666668</v>
      </c>
      <c r="BO46" s="74" t="str">
        <f t="shared" si="2"/>
        <v>23-2</v>
      </c>
    </row>
    <row r="47" spans="1:67" x14ac:dyDescent="0.25">
      <c r="A47" s="1"/>
      <c r="B47" s="1"/>
      <c r="C47" s="1"/>
      <c r="I47" s="4"/>
      <c r="J47" s="4"/>
      <c r="K47" s="4"/>
      <c r="L47" s="4"/>
      <c r="R47" s="1"/>
      <c r="S47" s="1"/>
      <c r="T47" s="1"/>
      <c r="Y47" s="1"/>
      <c r="Z47" s="1"/>
      <c r="AA47" s="1"/>
      <c r="BL47" s="49">
        <v>7</v>
      </c>
      <c r="BM47" s="55" t="s">
        <v>283</v>
      </c>
      <c r="BN47" s="49">
        <f t="shared" si="1"/>
        <v>25.166666666666668</v>
      </c>
      <c r="BO47" s="74" t="str">
        <f t="shared" si="2"/>
        <v>25-2</v>
      </c>
    </row>
    <row r="48" spans="1:67" x14ac:dyDescent="0.25">
      <c r="A48" s="1"/>
      <c r="B48" s="1"/>
      <c r="C48" s="1"/>
      <c r="I48" s="4" t="s">
        <v>120</v>
      </c>
      <c r="J48" s="4"/>
      <c r="K48" s="60" t="s">
        <v>49</v>
      </c>
      <c r="L48" s="61" t="s">
        <v>120</v>
      </c>
      <c r="M48" s="62" t="s">
        <v>121</v>
      </c>
      <c r="N48" s="62" t="s">
        <v>122</v>
      </c>
      <c r="R48" s="1"/>
      <c r="S48" s="1"/>
      <c r="T48" s="1"/>
      <c r="Y48" s="1"/>
      <c r="Z48" s="1"/>
      <c r="AA48" s="1"/>
      <c r="BL48" s="49">
        <v>7.166666666666667</v>
      </c>
      <c r="BM48" s="55" t="s">
        <v>224</v>
      </c>
      <c r="BN48" s="49">
        <f t="shared" si="1"/>
        <v>11.333333333333334</v>
      </c>
      <c r="BO48" s="74" t="str">
        <f t="shared" si="2"/>
        <v>11-4</v>
      </c>
    </row>
    <row r="49" spans="1:67" x14ac:dyDescent="0.25">
      <c r="A49" s="1"/>
      <c r="B49" s="1"/>
      <c r="C49" s="1"/>
      <c r="I49" s="4" t="s">
        <v>121</v>
      </c>
      <c r="J49" s="4"/>
      <c r="K49" s="58"/>
      <c r="L49" s="59"/>
      <c r="M49" s="8"/>
      <c r="N49" s="8"/>
      <c r="R49" s="1"/>
      <c r="S49" s="1"/>
      <c r="T49" s="1"/>
      <c r="Y49" s="1"/>
      <c r="Z49" s="1"/>
      <c r="AA49" s="1"/>
      <c r="BL49" s="49">
        <v>7.25</v>
      </c>
      <c r="BM49" s="55" t="s">
        <v>255</v>
      </c>
      <c r="BN49" s="49">
        <f t="shared" si="1"/>
        <v>22.25</v>
      </c>
      <c r="BO49" s="74" t="str">
        <f t="shared" si="2"/>
        <v>22-3</v>
      </c>
    </row>
    <row r="50" spans="1:67" x14ac:dyDescent="0.25">
      <c r="A50" s="1"/>
      <c r="B50" s="1"/>
      <c r="C50" s="1"/>
      <c r="I50" s="4" t="s">
        <v>132</v>
      </c>
      <c r="J50" s="4"/>
      <c r="K50" s="58" t="s">
        <v>123</v>
      </c>
      <c r="L50" s="59">
        <v>6</v>
      </c>
      <c r="M50" s="8">
        <v>3</v>
      </c>
      <c r="N50" s="8">
        <v>3</v>
      </c>
      <c r="R50" s="1"/>
      <c r="S50" s="1"/>
      <c r="T50" s="1"/>
      <c r="Y50" s="1"/>
      <c r="Z50" s="1"/>
      <c r="AA50" s="1"/>
      <c r="BL50" s="49">
        <v>7.333333333333333</v>
      </c>
      <c r="BM50" s="55" t="s">
        <v>236</v>
      </c>
      <c r="BN50" s="49">
        <f t="shared" si="1"/>
        <v>24.25</v>
      </c>
      <c r="BO50" s="74" t="str">
        <f t="shared" si="2"/>
        <v>24-3</v>
      </c>
    </row>
    <row r="51" spans="1:67" x14ac:dyDescent="0.25">
      <c r="A51" s="1"/>
      <c r="B51" s="1"/>
      <c r="C51" s="1"/>
      <c r="J51" s="4"/>
      <c r="K51" s="58" t="s">
        <v>124</v>
      </c>
      <c r="L51" s="59">
        <v>12</v>
      </c>
      <c r="M51" s="8">
        <v>6</v>
      </c>
      <c r="N51" s="8">
        <v>3</v>
      </c>
      <c r="R51" s="1"/>
      <c r="S51" s="1"/>
      <c r="T51" s="1"/>
      <c r="Y51" s="1"/>
      <c r="Z51" s="1"/>
      <c r="AA51" s="1"/>
      <c r="BL51" s="49">
        <v>7.5</v>
      </c>
      <c r="BM51" s="55" t="s">
        <v>261</v>
      </c>
      <c r="BN51" s="49">
        <f t="shared" si="1"/>
        <v>16.666666666666668</v>
      </c>
      <c r="BO51" s="74" t="str">
        <f t="shared" si="2"/>
        <v>16-8</v>
      </c>
    </row>
    <row r="52" spans="1:67" x14ac:dyDescent="0.25">
      <c r="A52" s="1"/>
      <c r="B52" s="1"/>
      <c r="C52" s="1"/>
      <c r="J52" s="4"/>
      <c r="K52" s="58" t="s">
        <v>125</v>
      </c>
      <c r="L52" s="59">
        <v>18</v>
      </c>
      <c r="M52" s="8">
        <v>12</v>
      </c>
      <c r="N52" s="8">
        <v>3</v>
      </c>
      <c r="R52" s="1"/>
      <c r="S52" s="1"/>
      <c r="T52" s="1"/>
      <c r="Y52" s="1"/>
      <c r="Z52" s="1"/>
      <c r="AA52" s="1"/>
      <c r="BL52" s="49">
        <v>7.666666666666667</v>
      </c>
      <c r="BM52" s="55" t="s">
        <v>266</v>
      </c>
      <c r="BN52" s="49">
        <f t="shared" si="1"/>
        <v>23.333333333333332</v>
      </c>
      <c r="BO52" s="74" t="str">
        <f t="shared" si="2"/>
        <v>23-4</v>
      </c>
    </row>
    <row r="53" spans="1:67" x14ac:dyDescent="0.25">
      <c r="A53" s="1"/>
      <c r="B53" s="1"/>
      <c r="C53" s="1"/>
      <c r="I53" s="4"/>
      <c r="J53" s="4"/>
      <c r="K53" s="4"/>
      <c r="L53" s="4"/>
      <c r="R53" s="1"/>
      <c r="S53" s="1"/>
      <c r="T53" s="1"/>
      <c r="Y53" s="1"/>
      <c r="Z53" s="1"/>
      <c r="AA53" s="1"/>
      <c r="BL53" s="49">
        <v>7.75</v>
      </c>
      <c r="BM53" s="55" t="s">
        <v>284</v>
      </c>
      <c r="BN53" s="49">
        <f t="shared" si="1"/>
        <v>25.25</v>
      </c>
      <c r="BO53" s="74" t="str">
        <f t="shared" si="2"/>
        <v>25-3</v>
      </c>
    </row>
    <row r="54" spans="1:67" x14ac:dyDescent="0.25">
      <c r="A54" s="1"/>
      <c r="B54" s="1"/>
      <c r="C54" s="1"/>
      <c r="I54" s="1"/>
      <c r="J54" s="1"/>
      <c r="K54" s="1"/>
      <c r="R54" s="1"/>
      <c r="S54" s="1"/>
      <c r="T54" s="1"/>
      <c r="Y54" s="1"/>
      <c r="Z54" s="1"/>
      <c r="AA54" s="1"/>
      <c r="BF54" s="5" t="s">
        <v>141</v>
      </c>
      <c r="BL54" s="49">
        <v>8</v>
      </c>
      <c r="BM54" s="55" t="s">
        <v>256</v>
      </c>
      <c r="BN54" s="49">
        <f t="shared" si="1"/>
        <v>15.75</v>
      </c>
      <c r="BO54" s="74" t="str">
        <f t="shared" si="2"/>
        <v>15-9</v>
      </c>
    </row>
    <row r="55" spans="1:67" x14ac:dyDescent="0.25">
      <c r="A55" s="1"/>
      <c r="B55" s="1"/>
      <c r="C55" s="1"/>
      <c r="I55" s="1"/>
      <c r="J55" s="1"/>
      <c r="K55" s="1"/>
      <c r="R55" s="1"/>
      <c r="S55" s="1"/>
      <c r="T55" s="1"/>
      <c r="Y55" s="1"/>
      <c r="Z55" s="1"/>
      <c r="AA55" s="1"/>
      <c r="BL55" s="49">
        <v>8.0833333333333339</v>
      </c>
      <c r="BM55" s="55" t="s">
        <v>271</v>
      </c>
      <c r="BN55" s="49">
        <f t="shared" si="1"/>
        <v>22.5</v>
      </c>
      <c r="BO55" s="74" t="str">
        <f t="shared" si="2"/>
        <v>22-6</v>
      </c>
    </row>
    <row r="56" spans="1:67" x14ac:dyDescent="0.25">
      <c r="A56" s="1"/>
      <c r="B56" s="1"/>
      <c r="C56" s="1"/>
      <c r="I56" s="1"/>
      <c r="J56" s="1"/>
      <c r="K56" s="1"/>
      <c r="R56" s="1"/>
      <c r="S56" s="1"/>
      <c r="T56" s="1"/>
      <c r="Y56" s="1"/>
      <c r="Z56" s="1"/>
      <c r="AA56" s="1"/>
      <c r="BF56" s="73"/>
      <c r="BG56" s="57" t="s">
        <v>140</v>
      </c>
      <c r="BH56" s="73" t="s">
        <v>136</v>
      </c>
      <c r="BI56" s="73" t="s">
        <v>56</v>
      </c>
      <c r="BL56" s="49">
        <v>8.1666666666666661</v>
      </c>
      <c r="BM56" s="55" t="s">
        <v>280</v>
      </c>
      <c r="BN56" s="49">
        <f t="shared" si="1"/>
        <v>24.333333333333332</v>
      </c>
      <c r="BO56" s="74" t="str">
        <f t="shared" si="2"/>
        <v>24-4</v>
      </c>
    </row>
    <row r="57" spans="1:67" x14ac:dyDescent="0.25">
      <c r="A57" s="1"/>
      <c r="B57" s="1"/>
      <c r="C57" s="1"/>
      <c r="I57" s="1"/>
      <c r="J57" s="1"/>
      <c r="K57" s="1"/>
      <c r="R57" s="1"/>
      <c r="S57" s="1"/>
      <c r="T57" s="1"/>
      <c r="Y57" s="1"/>
      <c r="Z57" s="1"/>
      <c r="AA57" s="1"/>
      <c r="BF57" s="73" t="s">
        <v>49</v>
      </c>
      <c r="BG57" s="57" t="s">
        <v>137</v>
      </c>
      <c r="BH57" s="73" t="s">
        <v>54</v>
      </c>
      <c r="BI57" s="73" t="s">
        <v>54</v>
      </c>
      <c r="BL57" s="49">
        <v>8.25</v>
      </c>
      <c r="BM57" s="55" t="s">
        <v>262</v>
      </c>
      <c r="BN57" s="49">
        <f t="shared" si="1"/>
        <v>16.833333333333332</v>
      </c>
      <c r="BO57" s="74" t="str">
        <f t="shared" si="2"/>
        <v>16-10</v>
      </c>
    </row>
    <row r="58" spans="1:67" x14ac:dyDescent="0.25">
      <c r="A58" s="1"/>
      <c r="B58" s="1"/>
      <c r="C58" s="1"/>
      <c r="I58" s="1"/>
      <c r="J58" s="1"/>
      <c r="K58" s="1"/>
      <c r="R58" s="1"/>
      <c r="S58" s="1"/>
      <c r="T58" s="1"/>
      <c r="Y58" s="1"/>
      <c r="Z58" s="1"/>
      <c r="AA58" s="1"/>
      <c r="BF58" s="11" t="s">
        <v>53</v>
      </c>
      <c r="BG58" s="11" t="s">
        <v>48</v>
      </c>
      <c r="BH58" s="11" t="s">
        <v>53</v>
      </c>
      <c r="BI58" s="11" t="s">
        <v>53</v>
      </c>
      <c r="BL58" s="49">
        <v>8.4166666666666661</v>
      </c>
      <c r="BM58" s="55" t="s">
        <v>267</v>
      </c>
      <c r="BN58" s="49">
        <f t="shared" si="1"/>
        <v>21.833333333333332</v>
      </c>
      <c r="BO58" s="74" t="str">
        <f t="shared" si="2"/>
        <v>21-10</v>
      </c>
    </row>
    <row r="59" spans="1:67" x14ac:dyDescent="0.25">
      <c r="A59" s="1"/>
      <c r="B59" s="1"/>
      <c r="C59" s="1"/>
      <c r="I59" s="1"/>
      <c r="J59" s="1"/>
      <c r="K59" s="1"/>
      <c r="R59" s="1"/>
      <c r="S59" s="1"/>
      <c r="T59" s="1"/>
      <c r="Y59" s="1"/>
      <c r="Z59" s="1"/>
      <c r="AA59" s="1"/>
      <c r="BL59" s="49">
        <v>8.5</v>
      </c>
      <c r="BM59" s="55" t="s">
        <v>278</v>
      </c>
      <c r="BN59" s="49">
        <f t="shared" si="1"/>
        <v>23.5</v>
      </c>
      <c r="BO59" s="74" t="str">
        <f t="shared" si="2"/>
        <v>23-6</v>
      </c>
    </row>
    <row r="60" spans="1:67" x14ac:dyDescent="0.25">
      <c r="A60" s="1"/>
      <c r="B60" s="1"/>
      <c r="C60" s="1"/>
      <c r="I60" s="1"/>
      <c r="J60" s="1"/>
      <c r="K60" s="1"/>
      <c r="R60" s="1"/>
      <c r="S60" s="1"/>
      <c r="T60" s="1"/>
      <c r="Y60" s="1"/>
      <c r="Z60" s="1"/>
      <c r="AA60" s="1"/>
      <c r="BF60" s="73">
        <v>12</v>
      </c>
      <c r="BG60" s="73">
        <v>10</v>
      </c>
      <c r="BH60" s="73">
        <v>3</v>
      </c>
      <c r="BI60" s="73">
        <v>10</v>
      </c>
      <c r="BL60" s="49">
        <v>8.5833333333333339</v>
      </c>
      <c r="BM60" s="55" t="s">
        <v>285</v>
      </c>
      <c r="BN60" s="49">
        <f t="shared" si="1"/>
        <v>25.333333333333332</v>
      </c>
      <c r="BO60" s="74" t="str">
        <f t="shared" si="2"/>
        <v>25-4</v>
      </c>
    </row>
    <row r="61" spans="1:67" x14ac:dyDescent="0.25">
      <c r="A61" s="1"/>
      <c r="B61" s="1"/>
      <c r="C61" s="1"/>
      <c r="I61" s="1"/>
      <c r="J61" s="1"/>
      <c r="K61" s="1"/>
      <c r="R61" s="1"/>
      <c r="S61" s="1"/>
      <c r="T61" s="1"/>
      <c r="Y61" s="1"/>
      <c r="Z61" s="1"/>
      <c r="AA61" s="1"/>
      <c r="BF61" s="73">
        <v>13</v>
      </c>
      <c r="BG61" s="73">
        <v>10</v>
      </c>
      <c r="BH61" s="73">
        <v>3</v>
      </c>
      <c r="BI61" s="73">
        <v>10</v>
      </c>
      <c r="BL61" s="49">
        <v>8.8333333333333339</v>
      </c>
      <c r="BM61" s="55" t="s">
        <v>272</v>
      </c>
      <c r="BN61" s="49">
        <f t="shared" si="1"/>
        <v>22.75</v>
      </c>
      <c r="BO61" s="74" t="str">
        <f t="shared" si="2"/>
        <v>22-9</v>
      </c>
    </row>
    <row r="62" spans="1:67" x14ac:dyDescent="0.25">
      <c r="A62" s="1"/>
      <c r="B62" s="1"/>
      <c r="C62" s="1"/>
      <c r="I62" s="1"/>
      <c r="J62" s="1"/>
      <c r="K62" s="1"/>
      <c r="R62" s="1"/>
      <c r="S62" s="1"/>
      <c r="T62" s="1"/>
      <c r="Y62" s="1"/>
      <c r="Z62" s="1"/>
      <c r="AA62" s="1"/>
      <c r="BF62" s="73">
        <v>14</v>
      </c>
      <c r="BG62" s="73">
        <v>10</v>
      </c>
      <c r="BH62" s="73">
        <v>3</v>
      </c>
      <c r="BI62" s="73">
        <v>10</v>
      </c>
      <c r="BL62" s="49">
        <v>8.9166666666666661</v>
      </c>
      <c r="BM62" s="55" t="s">
        <v>281</v>
      </c>
      <c r="BN62" s="49">
        <f t="shared" si="1"/>
        <v>24.416666666666668</v>
      </c>
      <c r="BO62" s="74" t="str">
        <f t="shared" si="2"/>
        <v>24-5</v>
      </c>
    </row>
    <row r="63" spans="1:67" x14ac:dyDescent="0.25">
      <c r="BF63" s="73">
        <v>15</v>
      </c>
      <c r="BG63" s="73">
        <v>10</v>
      </c>
      <c r="BH63" s="73">
        <v>3</v>
      </c>
      <c r="BI63" s="73">
        <v>10</v>
      </c>
      <c r="BL63" s="49">
        <v>9.25</v>
      </c>
      <c r="BM63" s="55" t="s">
        <v>276</v>
      </c>
      <c r="BN63" s="49">
        <f t="shared" si="1"/>
        <v>23.666666666666668</v>
      </c>
      <c r="BO63" s="74" t="str">
        <f t="shared" si="2"/>
        <v>23-8</v>
      </c>
    </row>
    <row r="64" spans="1:67" x14ac:dyDescent="0.25">
      <c r="BF64" s="73">
        <v>16</v>
      </c>
      <c r="BG64" s="73">
        <v>12</v>
      </c>
      <c r="BH64" s="73">
        <v>3</v>
      </c>
      <c r="BI64" s="73">
        <v>10</v>
      </c>
      <c r="BL64" s="49">
        <v>9.4166666666666661</v>
      </c>
      <c r="BM64" s="55" t="s">
        <v>286</v>
      </c>
      <c r="BN64" s="49">
        <f t="shared" si="1"/>
        <v>25.333333333333332</v>
      </c>
      <c r="BO64" s="74" t="str">
        <f t="shared" si="2"/>
        <v>25-4</v>
      </c>
    </row>
    <row r="65" spans="1:67" x14ac:dyDescent="0.25">
      <c r="A65" s="48">
        <v>2</v>
      </c>
      <c r="B65" s="47" t="s">
        <v>58</v>
      </c>
      <c r="I65" s="48">
        <v>7</v>
      </c>
      <c r="J65" s="47" t="s">
        <v>84</v>
      </c>
      <c r="AM65" s="8"/>
      <c r="BF65" s="73">
        <v>17</v>
      </c>
      <c r="BG65" s="73">
        <v>12</v>
      </c>
      <c r="BH65" s="73">
        <v>3</v>
      </c>
      <c r="BI65" s="73">
        <v>10</v>
      </c>
      <c r="BL65" s="49">
        <v>9.6666666666666661</v>
      </c>
      <c r="BM65" s="55" t="s">
        <v>277</v>
      </c>
      <c r="BN65" s="49">
        <f t="shared" si="1"/>
        <v>23</v>
      </c>
      <c r="BO65" s="74" t="str">
        <f t="shared" si="2"/>
        <v>23-0</v>
      </c>
    </row>
    <row r="66" spans="1:67" x14ac:dyDescent="0.25">
      <c r="AM66" s="8"/>
      <c r="BF66" s="73">
        <v>18</v>
      </c>
      <c r="BG66" s="73">
        <v>12</v>
      </c>
      <c r="BH66" s="73">
        <v>3</v>
      </c>
      <c r="BI66" s="73">
        <v>10</v>
      </c>
      <c r="BL66" s="49">
        <v>9.75</v>
      </c>
      <c r="BM66" s="55" t="s">
        <v>282</v>
      </c>
      <c r="BN66" s="49">
        <f t="shared" si="1"/>
        <v>24.583333333333332</v>
      </c>
      <c r="BO66" s="74" t="str">
        <f t="shared" si="2"/>
        <v>24-7</v>
      </c>
    </row>
    <row r="67" spans="1:67" x14ac:dyDescent="0.25">
      <c r="B67" s="8" t="s">
        <v>62</v>
      </c>
      <c r="C67" s="8"/>
      <c r="D67" s="8" t="s">
        <v>60</v>
      </c>
      <c r="E67" s="8" t="s">
        <v>61</v>
      </c>
      <c r="J67" s="8" t="s">
        <v>62</v>
      </c>
      <c r="K67" s="8"/>
      <c r="M67" s="8" t="s">
        <v>60</v>
      </c>
      <c r="N67" s="8" t="s">
        <v>61</v>
      </c>
      <c r="AM67" s="8"/>
      <c r="BF67" s="73">
        <v>19</v>
      </c>
      <c r="BG67" s="73">
        <v>12</v>
      </c>
      <c r="BH67" s="73">
        <v>3</v>
      </c>
      <c r="BI67" s="73">
        <v>10</v>
      </c>
      <c r="BL67" s="49">
        <v>10.083333333333334</v>
      </c>
      <c r="BM67" s="55" t="s">
        <v>279</v>
      </c>
      <c r="BN67" s="49">
        <f t="shared" si="1"/>
        <v>23.833333333333332</v>
      </c>
      <c r="BO67" s="74" t="str">
        <f t="shared" si="2"/>
        <v>23-10</v>
      </c>
    </row>
    <row r="68" spans="1:67" x14ac:dyDescent="0.25">
      <c r="B68" s="8" t="s">
        <v>66</v>
      </c>
      <c r="C68" s="8" t="s">
        <v>63</v>
      </c>
      <c r="D68" s="8" t="s">
        <v>64</v>
      </c>
      <c r="E68" s="8" t="s">
        <v>65</v>
      </c>
      <c r="J68" s="8" t="s">
        <v>66</v>
      </c>
      <c r="K68" s="8" t="s">
        <v>49</v>
      </c>
      <c r="L68" s="8" t="s">
        <v>54</v>
      </c>
      <c r="M68" s="8" t="s">
        <v>64</v>
      </c>
      <c r="N68" s="8" t="s">
        <v>65</v>
      </c>
      <c r="AM68" s="8"/>
      <c r="BF68" s="73">
        <v>20</v>
      </c>
      <c r="BG68" s="73">
        <v>12</v>
      </c>
      <c r="BH68" s="73">
        <v>3</v>
      </c>
      <c r="BI68" s="73">
        <v>10</v>
      </c>
      <c r="BL68" s="49">
        <v>10.166666666666666</v>
      </c>
      <c r="BM68" s="55" t="s">
        <v>225</v>
      </c>
      <c r="BN68" s="49">
        <f t="shared" si="1"/>
        <v>25.416666666666668</v>
      </c>
      <c r="BO68" s="74" t="str">
        <f t="shared" si="2"/>
        <v>25-5</v>
      </c>
    </row>
    <row r="69" spans="1:67" x14ac:dyDescent="0.25">
      <c r="B69" s="11" t="s">
        <v>53</v>
      </c>
      <c r="C69" s="11" t="s">
        <v>48</v>
      </c>
      <c r="D69" s="11" t="s">
        <v>48</v>
      </c>
      <c r="E69" s="11" t="s">
        <v>53</v>
      </c>
      <c r="J69" s="11" t="s">
        <v>53</v>
      </c>
      <c r="K69" s="11" t="s">
        <v>48</v>
      </c>
      <c r="L69" s="11" t="s">
        <v>48</v>
      </c>
      <c r="M69" s="11" t="s">
        <v>48</v>
      </c>
      <c r="N69" s="11" t="s">
        <v>53</v>
      </c>
      <c r="AM69" s="8"/>
      <c r="BF69" s="73">
        <v>21</v>
      </c>
      <c r="BG69" s="73">
        <v>14</v>
      </c>
      <c r="BH69" s="73">
        <v>3</v>
      </c>
      <c r="BI69" s="73">
        <v>10</v>
      </c>
      <c r="BL69" s="49">
        <v>10.5</v>
      </c>
      <c r="BM69" s="55" t="s">
        <v>219</v>
      </c>
      <c r="BN69" s="49">
        <f t="shared" si="1"/>
        <v>24.666666666666668</v>
      </c>
      <c r="BO69" s="74" t="str">
        <f t="shared" si="2"/>
        <v>24-8</v>
      </c>
    </row>
    <row r="70" spans="1:67" x14ac:dyDescent="0.25">
      <c r="B70" s="8"/>
      <c r="C70" s="8"/>
      <c r="D70" s="8"/>
      <c r="E70" s="8"/>
      <c r="AM70" s="8"/>
      <c r="BF70" s="73">
        <v>22</v>
      </c>
      <c r="BG70" s="73">
        <v>14</v>
      </c>
      <c r="BH70" s="73">
        <v>3</v>
      </c>
      <c r="BI70" s="73">
        <v>10</v>
      </c>
    </row>
    <row r="71" spans="1:67" x14ac:dyDescent="0.25">
      <c r="B71" s="8">
        <v>0</v>
      </c>
      <c r="C71" s="8" t="s">
        <v>67</v>
      </c>
      <c r="D71" s="8"/>
      <c r="E71" s="8"/>
      <c r="J71" s="8">
        <v>0</v>
      </c>
      <c r="K71" s="8" t="s">
        <v>67</v>
      </c>
      <c r="L71" s="8" t="s">
        <v>67</v>
      </c>
      <c r="AM71" s="8"/>
      <c r="BF71" s="73">
        <v>23</v>
      </c>
      <c r="BG71" s="73">
        <v>14</v>
      </c>
      <c r="BH71" s="73">
        <v>3</v>
      </c>
      <c r="BI71" s="73">
        <v>10</v>
      </c>
    </row>
    <row r="72" spans="1:67" x14ac:dyDescent="0.25">
      <c r="B72" s="49">
        <f t="shared" ref="B72:B86" si="7">(C72+D72)/12+E72</f>
        <v>2.083333333333333</v>
      </c>
      <c r="C72" s="8">
        <v>12</v>
      </c>
      <c r="D72" s="8">
        <v>1</v>
      </c>
      <c r="E72" s="8">
        <v>1</v>
      </c>
      <c r="J72" s="49">
        <f t="shared" ref="J72:J79" si="8">(L72+M72)/12+N72</f>
        <v>5.0999999999999996</v>
      </c>
      <c r="K72" s="8">
        <v>60</v>
      </c>
      <c r="L72" s="8">
        <v>46</v>
      </c>
      <c r="M72" s="8">
        <v>2</v>
      </c>
      <c r="N72" s="8">
        <v>1.1000000000000001</v>
      </c>
      <c r="AM72" s="8"/>
      <c r="BF72" s="73">
        <v>24</v>
      </c>
      <c r="BG72" s="73">
        <v>14</v>
      </c>
      <c r="BH72" s="73">
        <v>3</v>
      </c>
      <c r="BI72" s="73">
        <v>10</v>
      </c>
    </row>
    <row r="73" spans="1:67" x14ac:dyDescent="0.25">
      <c r="B73" s="49">
        <f t="shared" si="7"/>
        <v>2.333333333333333</v>
      </c>
      <c r="C73" s="8">
        <v>15</v>
      </c>
      <c r="D73" s="8">
        <v>1</v>
      </c>
      <c r="E73" s="8">
        <v>1</v>
      </c>
      <c r="J73" s="49">
        <f t="shared" si="8"/>
        <v>5.5166666666666675</v>
      </c>
      <c r="K73" s="8">
        <v>66</v>
      </c>
      <c r="L73" s="8">
        <v>51</v>
      </c>
      <c r="M73" s="8">
        <v>2</v>
      </c>
      <c r="N73" s="8">
        <v>1.1000000000000001</v>
      </c>
      <c r="AM73" s="8"/>
      <c r="BF73" s="73">
        <v>25</v>
      </c>
      <c r="BG73" s="73">
        <v>14</v>
      </c>
      <c r="BH73" s="73">
        <v>3</v>
      </c>
      <c r="BI73" s="73">
        <v>10</v>
      </c>
    </row>
    <row r="74" spans="1:67" x14ac:dyDescent="0.25">
      <c r="B74" s="49">
        <f t="shared" si="7"/>
        <v>2.583333333333333</v>
      </c>
      <c r="C74" s="8">
        <v>18</v>
      </c>
      <c r="D74" s="8">
        <v>1</v>
      </c>
      <c r="E74" s="8">
        <v>1</v>
      </c>
      <c r="J74" s="49">
        <f t="shared" si="8"/>
        <v>5.85</v>
      </c>
      <c r="K74" s="8">
        <v>73</v>
      </c>
      <c r="L74" s="8">
        <v>55</v>
      </c>
      <c r="M74" s="8">
        <v>2</v>
      </c>
      <c r="N74" s="8">
        <v>1.1000000000000001</v>
      </c>
      <c r="AM74" s="8"/>
      <c r="BF74" s="73">
        <v>26</v>
      </c>
      <c r="BG74" s="73">
        <v>16</v>
      </c>
      <c r="BH74" s="73">
        <v>3</v>
      </c>
      <c r="BI74" s="73">
        <v>10</v>
      </c>
    </row>
    <row r="75" spans="1:67" x14ac:dyDescent="0.25">
      <c r="B75" s="49">
        <f t="shared" si="7"/>
        <v>2.833333333333333</v>
      </c>
      <c r="C75" s="8">
        <v>21</v>
      </c>
      <c r="D75" s="8">
        <v>1</v>
      </c>
      <c r="E75" s="8">
        <v>1</v>
      </c>
      <c r="J75" s="49">
        <f t="shared" si="8"/>
        <v>6.2833333333333332</v>
      </c>
      <c r="K75" s="8">
        <v>81</v>
      </c>
      <c r="L75" s="8">
        <v>59</v>
      </c>
      <c r="M75" s="8">
        <v>2</v>
      </c>
      <c r="N75" s="8">
        <v>1.2</v>
      </c>
      <c r="AM75" s="8"/>
      <c r="BF75" s="73">
        <v>27</v>
      </c>
      <c r="BG75" s="73">
        <v>16</v>
      </c>
      <c r="BH75" s="73">
        <v>3</v>
      </c>
      <c r="BI75" s="73">
        <v>10</v>
      </c>
    </row>
    <row r="76" spans="1:67" x14ac:dyDescent="0.25">
      <c r="B76" s="49">
        <f t="shared" si="7"/>
        <v>3.0833333333333335</v>
      </c>
      <c r="C76" s="8">
        <v>24</v>
      </c>
      <c r="D76" s="8">
        <v>1</v>
      </c>
      <c r="E76" s="8">
        <v>1</v>
      </c>
      <c r="J76" s="49">
        <f t="shared" si="8"/>
        <v>6.6166666666666671</v>
      </c>
      <c r="K76" s="8">
        <v>87</v>
      </c>
      <c r="L76" s="8">
        <v>63</v>
      </c>
      <c r="M76" s="8">
        <v>2</v>
      </c>
      <c r="N76" s="8">
        <v>1.2</v>
      </c>
      <c r="AM76" s="8"/>
      <c r="BF76" s="73">
        <v>28</v>
      </c>
      <c r="BG76" s="73">
        <v>16</v>
      </c>
      <c r="BH76" s="73">
        <v>3</v>
      </c>
      <c r="BI76" s="73">
        <v>10</v>
      </c>
    </row>
    <row r="77" spans="1:67" x14ac:dyDescent="0.25">
      <c r="B77" s="49">
        <f t="shared" si="7"/>
        <v>3.3333333333333335</v>
      </c>
      <c r="C77" s="8">
        <v>27</v>
      </c>
      <c r="D77" s="8">
        <v>1</v>
      </c>
      <c r="E77" s="8">
        <v>1</v>
      </c>
      <c r="J77" s="49">
        <f t="shared" si="8"/>
        <v>6.95</v>
      </c>
      <c r="K77" s="8">
        <v>95</v>
      </c>
      <c r="L77" s="8">
        <v>67</v>
      </c>
      <c r="M77" s="8">
        <v>2</v>
      </c>
      <c r="N77" s="8">
        <v>1.2</v>
      </c>
      <c r="AM77" s="8"/>
      <c r="BF77" s="73">
        <v>29</v>
      </c>
      <c r="BG77" s="73">
        <v>16</v>
      </c>
      <c r="BH77" s="73">
        <v>3</v>
      </c>
      <c r="BI77" s="73">
        <v>10</v>
      </c>
    </row>
    <row r="78" spans="1:67" x14ac:dyDescent="0.25">
      <c r="B78" s="49">
        <f t="shared" si="7"/>
        <v>3.5833333333333335</v>
      </c>
      <c r="C78" s="8">
        <v>30</v>
      </c>
      <c r="D78" s="8">
        <v>1</v>
      </c>
      <c r="E78" s="8">
        <v>1</v>
      </c>
      <c r="J78" s="49">
        <f t="shared" si="8"/>
        <v>7.2833333333333332</v>
      </c>
      <c r="K78" s="8">
        <v>103</v>
      </c>
      <c r="L78" s="8">
        <v>71</v>
      </c>
      <c r="M78" s="8">
        <v>2</v>
      </c>
      <c r="N78" s="8">
        <v>1.2</v>
      </c>
      <c r="AM78" s="8"/>
      <c r="BF78" s="73">
        <v>30</v>
      </c>
      <c r="BG78" s="73">
        <v>16</v>
      </c>
      <c r="BH78" s="73">
        <v>3</v>
      </c>
      <c r="BI78" s="73">
        <v>10</v>
      </c>
    </row>
    <row r="79" spans="1:67" x14ac:dyDescent="0.25">
      <c r="B79" s="49">
        <f t="shared" si="7"/>
        <v>3.8333333333333335</v>
      </c>
      <c r="C79" s="8">
        <v>33</v>
      </c>
      <c r="D79" s="8">
        <v>1</v>
      </c>
      <c r="E79" s="8">
        <v>1</v>
      </c>
      <c r="J79" s="49">
        <f t="shared" si="8"/>
        <v>7.7166666666666668</v>
      </c>
      <c r="K79" s="8">
        <v>112</v>
      </c>
      <c r="L79" s="8">
        <v>75</v>
      </c>
      <c r="M79" s="8">
        <v>2</v>
      </c>
      <c r="N79" s="8">
        <v>1.3</v>
      </c>
      <c r="AM79" s="8"/>
    </row>
    <row r="80" spans="1:67" x14ac:dyDescent="0.25">
      <c r="B80" s="49">
        <f t="shared" si="7"/>
        <v>4.0833333333333339</v>
      </c>
      <c r="C80" s="8">
        <v>36</v>
      </c>
      <c r="D80" s="8">
        <v>1</v>
      </c>
      <c r="E80" s="8">
        <v>1</v>
      </c>
      <c r="AM80" s="8"/>
    </row>
    <row r="81" spans="1:73" x14ac:dyDescent="0.25">
      <c r="B81" s="49">
        <f t="shared" si="7"/>
        <v>4.5833333333333339</v>
      </c>
      <c r="C81" s="8">
        <v>42</v>
      </c>
      <c r="D81" s="8">
        <v>1</v>
      </c>
      <c r="E81" s="8">
        <v>1</v>
      </c>
      <c r="AM81" s="8"/>
      <c r="AN81" s="8"/>
      <c r="BF81" s="5" t="s">
        <v>142</v>
      </c>
    </row>
    <row r="82" spans="1:73" x14ac:dyDescent="0.25">
      <c r="B82" s="49">
        <f t="shared" si="7"/>
        <v>5.083333333333333</v>
      </c>
      <c r="C82" s="8">
        <v>48</v>
      </c>
      <c r="D82" s="8">
        <v>1</v>
      </c>
      <c r="E82" s="8">
        <v>1</v>
      </c>
      <c r="I82" s="53">
        <v>15</v>
      </c>
      <c r="J82" s="47" t="s">
        <v>85</v>
      </c>
      <c r="AM82" s="8"/>
      <c r="AN82" s="8"/>
      <c r="BL82" s="5" t="s">
        <v>299</v>
      </c>
    </row>
    <row r="83" spans="1:73" x14ac:dyDescent="0.25">
      <c r="B83" s="49">
        <f t="shared" si="7"/>
        <v>5.583333333333333</v>
      </c>
      <c r="C83" s="8">
        <v>54</v>
      </c>
      <c r="D83" s="8">
        <v>1</v>
      </c>
      <c r="E83" s="8">
        <v>1</v>
      </c>
      <c r="AM83" s="8"/>
      <c r="AN83" s="8"/>
      <c r="BF83" s="73"/>
      <c r="BG83" s="57" t="s">
        <v>140</v>
      </c>
      <c r="BH83" s="73" t="s">
        <v>136</v>
      </c>
      <c r="BI83" s="73" t="s">
        <v>56</v>
      </c>
      <c r="BP83" s="74" t="s">
        <v>296</v>
      </c>
    </row>
    <row r="84" spans="1:73" x14ac:dyDescent="0.25">
      <c r="B84" s="49">
        <f t="shared" si="7"/>
        <v>6.083333333333333</v>
      </c>
      <c r="C84" s="8">
        <v>60</v>
      </c>
      <c r="D84" s="8">
        <v>1</v>
      </c>
      <c r="E84" s="8">
        <v>1</v>
      </c>
      <c r="J84" s="8" t="s">
        <v>62</v>
      </c>
      <c r="K84" s="8"/>
      <c r="M84" s="8" t="s">
        <v>60</v>
      </c>
      <c r="N84" s="8" t="s">
        <v>61</v>
      </c>
      <c r="AM84" s="8"/>
      <c r="AN84" s="8"/>
      <c r="BF84" s="73" t="s">
        <v>49</v>
      </c>
      <c r="BG84" s="57" t="s">
        <v>137</v>
      </c>
      <c r="BH84" s="73" t="s">
        <v>54</v>
      </c>
      <c r="BI84" s="73" t="s">
        <v>54</v>
      </c>
      <c r="BL84" s="74" t="s">
        <v>54</v>
      </c>
      <c r="BM84" s="74" t="s">
        <v>49</v>
      </c>
      <c r="BN84" s="74" t="s">
        <v>49</v>
      </c>
      <c r="BO84" s="74" t="s">
        <v>54</v>
      </c>
      <c r="BP84" s="74" t="s">
        <v>297</v>
      </c>
      <c r="BR84" t="s">
        <v>49</v>
      </c>
      <c r="BT84" t="s">
        <v>54</v>
      </c>
    </row>
    <row r="85" spans="1:73" x14ac:dyDescent="0.25">
      <c r="B85" s="49">
        <f t="shared" si="7"/>
        <v>6.583333333333333</v>
      </c>
      <c r="C85" s="8">
        <v>66</v>
      </c>
      <c r="D85" s="8">
        <v>1</v>
      </c>
      <c r="E85" s="8">
        <v>1</v>
      </c>
      <c r="J85" s="8" t="s">
        <v>66</v>
      </c>
      <c r="K85" s="8" t="s">
        <v>49</v>
      </c>
      <c r="L85" s="8" t="s">
        <v>54</v>
      </c>
      <c r="M85" s="8" t="s">
        <v>64</v>
      </c>
      <c r="N85" s="8" t="s">
        <v>65</v>
      </c>
      <c r="AM85" s="8"/>
      <c r="AN85" s="8"/>
      <c r="BF85" s="11" t="s">
        <v>53</v>
      </c>
      <c r="BG85" s="11" t="s">
        <v>48</v>
      </c>
      <c r="BH85" s="11" t="s">
        <v>53</v>
      </c>
      <c r="BI85" s="11" t="s">
        <v>53</v>
      </c>
      <c r="BL85" s="75" t="s">
        <v>53</v>
      </c>
      <c r="BM85" s="75" t="s">
        <v>53</v>
      </c>
      <c r="BN85" s="75" t="s">
        <v>287</v>
      </c>
      <c r="BO85" s="75" t="s">
        <v>287</v>
      </c>
      <c r="BP85" s="75" t="s">
        <v>298</v>
      </c>
      <c r="BR85" s="75" t="s">
        <v>29</v>
      </c>
      <c r="BS85" s="75" t="s">
        <v>55</v>
      </c>
      <c r="BT85" s="75" t="s">
        <v>29</v>
      </c>
      <c r="BU85" s="75" t="s">
        <v>55</v>
      </c>
    </row>
    <row r="86" spans="1:73" x14ac:dyDescent="0.25">
      <c r="B86" s="49">
        <f t="shared" si="7"/>
        <v>7.083333333333333</v>
      </c>
      <c r="C86" s="8">
        <v>72</v>
      </c>
      <c r="D86" s="8">
        <v>1</v>
      </c>
      <c r="E86" s="8">
        <v>1</v>
      </c>
      <c r="J86" s="11" t="s">
        <v>53</v>
      </c>
      <c r="K86" s="11" t="s">
        <v>48</v>
      </c>
      <c r="L86" s="11" t="s">
        <v>48</v>
      </c>
      <c r="M86" s="11" t="s">
        <v>48</v>
      </c>
      <c r="N86" s="11" t="s">
        <v>53</v>
      </c>
      <c r="AM86" s="8"/>
      <c r="AN86" s="8"/>
      <c r="BM86" s="74"/>
      <c r="BN86" s="74"/>
      <c r="BO86" s="74"/>
    </row>
    <row r="87" spans="1:73" x14ac:dyDescent="0.25">
      <c r="AM87" s="8"/>
      <c r="AN87" s="8"/>
      <c r="BF87" s="73">
        <v>14</v>
      </c>
      <c r="BG87" s="73">
        <v>12</v>
      </c>
      <c r="BH87" s="73">
        <v>4</v>
      </c>
      <c r="BI87" s="73">
        <v>12</v>
      </c>
      <c r="BL87" s="49">
        <f t="shared" ref="BL87:BL118" si="9">BT87+BU87/12</f>
        <v>2.5</v>
      </c>
      <c r="BM87" s="49">
        <f t="shared" ref="BM87:BM118" si="10">BR87+BS87/12</f>
        <v>8.75</v>
      </c>
      <c r="BN87" s="55" t="s">
        <v>211</v>
      </c>
      <c r="BO87" s="55" t="s">
        <v>212</v>
      </c>
      <c r="BP87" s="74">
        <v>18.399999999999999</v>
      </c>
      <c r="BR87" s="74">
        <v>8</v>
      </c>
      <c r="BS87" s="74">
        <v>9</v>
      </c>
      <c r="BT87" s="74">
        <v>2</v>
      </c>
      <c r="BU87" s="74">
        <v>6</v>
      </c>
    </row>
    <row r="88" spans="1:73" x14ac:dyDescent="0.25">
      <c r="J88" s="8">
        <v>0</v>
      </c>
      <c r="K88" s="8" t="s">
        <v>67</v>
      </c>
      <c r="L88" s="8" t="s">
        <v>67</v>
      </c>
      <c r="AM88" s="8"/>
      <c r="AN88" s="8"/>
      <c r="BF88" s="73">
        <v>16</v>
      </c>
      <c r="BG88" s="73">
        <v>12</v>
      </c>
      <c r="BH88" s="73">
        <v>4</v>
      </c>
      <c r="BI88" s="73">
        <v>12</v>
      </c>
      <c r="BL88" s="49">
        <f t="shared" si="9"/>
        <v>2.6666666666666665</v>
      </c>
      <c r="BM88" s="49">
        <f t="shared" si="10"/>
        <v>10.166666666666666</v>
      </c>
      <c r="BN88" s="55" t="s">
        <v>225</v>
      </c>
      <c r="BO88" s="55" t="s">
        <v>226</v>
      </c>
      <c r="BP88" s="74">
        <v>23</v>
      </c>
      <c r="BR88" s="74">
        <v>10</v>
      </c>
      <c r="BS88" s="74">
        <v>2</v>
      </c>
      <c r="BT88" s="74">
        <v>2</v>
      </c>
      <c r="BU88" s="74">
        <v>8</v>
      </c>
    </row>
    <row r="89" spans="1:73" x14ac:dyDescent="0.25">
      <c r="A89" s="48">
        <v>10</v>
      </c>
      <c r="B89" s="47" t="s">
        <v>59</v>
      </c>
      <c r="J89" s="49">
        <f t="shared" ref="J89:J100" si="11">(L89+M89)/12+N89</f>
        <v>5.0999999999999996</v>
      </c>
      <c r="K89" s="8">
        <v>60</v>
      </c>
      <c r="L89" s="8">
        <v>46</v>
      </c>
      <c r="M89" s="8">
        <v>2</v>
      </c>
      <c r="N89" s="8">
        <v>1.1000000000000001</v>
      </c>
      <c r="AM89" s="8"/>
      <c r="AN89" s="8"/>
      <c r="BF89" s="73">
        <v>18</v>
      </c>
      <c r="BG89" s="73">
        <v>12</v>
      </c>
      <c r="BH89" s="73">
        <v>4</v>
      </c>
      <c r="BI89" s="73">
        <v>12</v>
      </c>
      <c r="BL89" s="49">
        <f t="shared" si="9"/>
        <v>2.8333333333333335</v>
      </c>
      <c r="BM89" s="49">
        <f t="shared" si="10"/>
        <v>11.583333333333334</v>
      </c>
      <c r="BN89" s="55" t="s">
        <v>237</v>
      </c>
      <c r="BO89" s="55" t="s">
        <v>238</v>
      </c>
      <c r="BP89" s="74">
        <v>28.1</v>
      </c>
      <c r="BR89" s="74">
        <v>11</v>
      </c>
      <c r="BS89" s="74">
        <v>7</v>
      </c>
      <c r="BT89" s="74">
        <v>2</v>
      </c>
      <c r="BU89" s="74">
        <v>10</v>
      </c>
    </row>
    <row r="90" spans="1:73" x14ac:dyDescent="0.25">
      <c r="J90" s="49">
        <f t="shared" si="11"/>
        <v>5.5166666666666675</v>
      </c>
      <c r="K90" s="8">
        <v>66</v>
      </c>
      <c r="L90" s="8">
        <v>51</v>
      </c>
      <c r="M90" s="8">
        <v>2</v>
      </c>
      <c r="N90" s="8">
        <v>1.1000000000000001</v>
      </c>
      <c r="AM90" s="8"/>
      <c r="AN90" s="8"/>
      <c r="BF90" s="73">
        <v>20</v>
      </c>
      <c r="BG90" s="73">
        <v>12</v>
      </c>
      <c r="BH90" s="73">
        <v>4</v>
      </c>
      <c r="BI90" s="73">
        <v>12</v>
      </c>
      <c r="BL90" s="49">
        <f t="shared" si="9"/>
        <v>3</v>
      </c>
      <c r="BM90" s="49">
        <f t="shared" si="10"/>
        <v>13</v>
      </c>
      <c r="BN90" s="55" t="s">
        <v>151</v>
      </c>
      <c r="BO90" s="55" t="s">
        <v>248</v>
      </c>
      <c r="BP90" s="74">
        <v>33.799999999999997</v>
      </c>
      <c r="BR90" s="74">
        <v>13</v>
      </c>
      <c r="BS90" s="74">
        <v>0</v>
      </c>
      <c r="BT90" s="74">
        <v>3</v>
      </c>
      <c r="BU90" s="74">
        <v>0</v>
      </c>
    </row>
    <row r="91" spans="1:73" x14ac:dyDescent="0.25">
      <c r="B91" s="8" t="s">
        <v>62</v>
      </c>
      <c r="C91" s="8"/>
      <c r="D91" s="8" t="s">
        <v>60</v>
      </c>
      <c r="E91" s="8" t="s">
        <v>61</v>
      </c>
      <c r="J91" s="49">
        <f t="shared" si="11"/>
        <v>5.85</v>
      </c>
      <c r="K91" s="8">
        <v>73</v>
      </c>
      <c r="L91" s="8">
        <v>55</v>
      </c>
      <c r="M91" s="8">
        <v>2</v>
      </c>
      <c r="N91" s="8">
        <v>1.1000000000000001</v>
      </c>
      <c r="AM91" s="8"/>
      <c r="AN91" s="8"/>
      <c r="BF91" s="73">
        <v>22</v>
      </c>
      <c r="BG91" s="73">
        <v>12</v>
      </c>
      <c r="BH91" s="73">
        <v>4</v>
      </c>
      <c r="BI91" s="73">
        <v>12</v>
      </c>
      <c r="BL91" s="49">
        <f t="shared" si="9"/>
        <v>3.25</v>
      </c>
      <c r="BM91" s="49">
        <f t="shared" si="10"/>
        <v>9.1666666666666661</v>
      </c>
      <c r="BN91" s="55" t="s">
        <v>213</v>
      </c>
      <c r="BO91" s="55" t="s">
        <v>214</v>
      </c>
      <c r="BP91" s="74">
        <v>25.4</v>
      </c>
      <c r="BR91" s="74">
        <v>9</v>
      </c>
      <c r="BS91" s="74">
        <v>2</v>
      </c>
      <c r="BT91" s="74">
        <v>3</v>
      </c>
      <c r="BU91" s="74">
        <v>3</v>
      </c>
    </row>
    <row r="92" spans="1:73" x14ac:dyDescent="0.25">
      <c r="B92" s="8" t="s">
        <v>66</v>
      </c>
      <c r="C92" s="8" t="s">
        <v>63</v>
      </c>
      <c r="D92" s="8" t="s">
        <v>64</v>
      </c>
      <c r="E92" s="8" t="s">
        <v>65</v>
      </c>
      <c r="J92" s="49">
        <f t="shared" si="11"/>
        <v>6.2833333333333332</v>
      </c>
      <c r="K92" s="8">
        <v>81</v>
      </c>
      <c r="L92" s="8">
        <v>59</v>
      </c>
      <c r="M92" s="8">
        <v>2</v>
      </c>
      <c r="N92" s="8">
        <v>1.2</v>
      </c>
      <c r="AM92" s="8"/>
      <c r="AN92" s="8"/>
      <c r="BF92" s="73">
        <v>24</v>
      </c>
      <c r="BG92" s="73">
        <v>12</v>
      </c>
      <c r="BH92" s="73">
        <v>4</v>
      </c>
      <c r="BI92" s="73">
        <v>12</v>
      </c>
      <c r="BL92" s="49">
        <f t="shared" si="9"/>
        <v>3.25</v>
      </c>
      <c r="BM92" s="49">
        <f t="shared" si="10"/>
        <v>14.416666666666666</v>
      </c>
      <c r="BN92" s="55" t="s">
        <v>156</v>
      </c>
      <c r="BO92" s="55" t="s">
        <v>214</v>
      </c>
      <c r="BP92" s="74">
        <v>40</v>
      </c>
      <c r="BR92" s="74">
        <v>14</v>
      </c>
      <c r="BS92" s="74">
        <v>5</v>
      </c>
      <c r="BT92" s="74">
        <v>3</v>
      </c>
      <c r="BU92" s="74">
        <v>3</v>
      </c>
    </row>
    <row r="93" spans="1:73" x14ac:dyDescent="0.25">
      <c r="B93" s="11" t="s">
        <v>53</v>
      </c>
      <c r="C93" s="11" t="s">
        <v>48</v>
      </c>
      <c r="D93" s="11" t="s">
        <v>48</v>
      </c>
      <c r="E93" s="11" t="s">
        <v>53</v>
      </c>
      <c r="J93" s="49">
        <f t="shared" si="11"/>
        <v>6.6166666666666671</v>
      </c>
      <c r="K93" s="8">
        <v>87</v>
      </c>
      <c r="L93" s="8">
        <v>63</v>
      </c>
      <c r="M93" s="8">
        <v>2</v>
      </c>
      <c r="N93" s="8">
        <v>1.2</v>
      </c>
      <c r="BF93" s="73">
        <v>26</v>
      </c>
      <c r="BG93" s="73">
        <v>12</v>
      </c>
      <c r="BH93" s="73">
        <v>4</v>
      </c>
      <c r="BI93" s="73">
        <v>12</v>
      </c>
      <c r="BL93" s="49">
        <f t="shared" si="9"/>
        <v>3.4166666666666665</v>
      </c>
      <c r="BM93" s="49">
        <f t="shared" si="10"/>
        <v>10.583333333333334</v>
      </c>
      <c r="BN93" s="55" t="s">
        <v>227</v>
      </c>
      <c r="BO93" s="55" t="s">
        <v>228</v>
      </c>
      <c r="BP93" s="74">
        <v>31.1</v>
      </c>
      <c r="BR93" s="74">
        <v>10</v>
      </c>
      <c r="BS93" s="74">
        <v>7</v>
      </c>
      <c r="BT93" s="74">
        <v>3</v>
      </c>
      <c r="BU93" s="74">
        <v>5</v>
      </c>
    </row>
    <row r="94" spans="1:73" x14ac:dyDescent="0.25">
      <c r="J94" s="49">
        <f t="shared" si="11"/>
        <v>6.95</v>
      </c>
      <c r="K94" s="8">
        <v>95</v>
      </c>
      <c r="L94" s="8">
        <v>67</v>
      </c>
      <c r="M94" s="8">
        <v>2</v>
      </c>
      <c r="N94" s="8">
        <v>1.2</v>
      </c>
      <c r="BF94" s="73">
        <v>28</v>
      </c>
      <c r="BG94" s="73">
        <v>13</v>
      </c>
      <c r="BH94" s="73">
        <v>4</v>
      </c>
      <c r="BI94" s="73">
        <v>12</v>
      </c>
      <c r="BL94" s="49">
        <f t="shared" si="9"/>
        <v>3.5</v>
      </c>
      <c r="BM94" s="49">
        <f t="shared" si="10"/>
        <v>15.833333333333334</v>
      </c>
      <c r="BN94" s="55" t="s">
        <v>163</v>
      </c>
      <c r="BO94" s="55" t="s">
        <v>257</v>
      </c>
      <c r="BP94" s="74">
        <v>46.8</v>
      </c>
      <c r="BR94" s="74">
        <v>15</v>
      </c>
      <c r="BS94" s="74">
        <v>10</v>
      </c>
      <c r="BT94" s="74">
        <v>3</v>
      </c>
      <c r="BU94" s="74">
        <v>6</v>
      </c>
    </row>
    <row r="95" spans="1:73" x14ac:dyDescent="0.25">
      <c r="B95" s="8">
        <v>0</v>
      </c>
      <c r="C95" s="8" t="s">
        <v>67</v>
      </c>
      <c r="J95" s="49">
        <f t="shared" si="11"/>
        <v>7.2833333333333332</v>
      </c>
      <c r="K95" s="8">
        <v>103</v>
      </c>
      <c r="L95" s="8">
        <v>71</v>
      </c>
      <c r="M95" s="8">
        <v>2</v>
      </c>
      <c r="N95" s="8">
        <v>1.2</v>
      </c>
      <c r="BF95" s="73">
        <v>30</v>
      </c>
      <c r="BG95" s="73">
        <v>13</v>
      </c>
      <c r="BH95" s="73">
        <v>4</v>
      </c>
      <c r="BI95" s="73">
        <v>12</v>
      </c>
      <c r="BL95" s="49">
        <f t="shared" si="9"/>
        <v>3.5833333333333335</v>
      </c>
      <c r="BM95" s="49">
        <f t="shared" si="10"/>
        <v>11.916666666666666</v>
      </c>
      <c r="BN95" s="55" t="s">
        <v>239</v>
      </c>
      <c r="BO95" s="55" t="s">
        <v>240</v>
      </c>
      <c r="BP95" s="74">
        <v>37.4</v>
      </c>
      <c r="BR95" s="74">
        <v>11</v>
      </c>
      <c r="BS95" s="74">
        <v>11</v>
      </c>
      <c r="BT95" s="74">
        <v>3</v>
      </c>
      <c r="BU95" s="74">
        <v>7</v>
      </c>
    </row>
    <row r="96" spans="1:73" x14ac:dyDescent="0.25">
      <c r="B96" s="49">
        <f t="shared" ref="B96:B110" si="12">(C96+D96)/12+E96</f>
        <v>2.083333333333333</v>
      </c>
      <c r="C96" s="8">
        <v>12</v>
      </c>
      <c r="D96" s="8">
        <v>1</v>
      </c>
      <c r="E96" s="8">
        <v>1</v>
      </c>
      <c r="J96" s="49">
        <f t="shared" si="11"/>
        <v>7.7166666666666668</v>
      </c>
      <c r="K96" s="8">
        <v>112</v>
      </c>
      <c r="L96" s="8">
        <v>75</v>
      </c>
      <c r="M96" s="8">
        <v>2</v>
      </c>
      <c r="N96" s="8">
        <v>1.3</v>
      </c>
      <c r="R96" s="53">
        <v>19</v>
      </c>
      <c r="S96" s="47" t="s">
        <v>92</v>
      </c>
      <c r="BF96" s="73">
        <v>32</v>
      </c>
      <c r="BG96" s="73">
        <v>14</v>
      </c>
      <c r="BH96" s="73">
        <v>4</v>
      </c>
      <c r="BI96" s="73">
        <v>12</v>
      </c>
      <c r="BL96" s="49">
        <f t="shared" si="9"/>
        <v>3.8333333333333335</v>
      </c>
      <c r="BM96" s="49">
        <f t="shared" si="10"/>
        <v>13.333333333333334</v>
      </c>
      <c r="BN96" s="55" t="s">
        <v>152</v>
      </c>
      <c r="BO96" s="55" t="s">
        <v>249</v>
      </c>
      <c r="BP96" s="74">
        <v>44.2</v>
      </c>
      <c r="BR96" s="74">
        <v>13</v>
      </c>
      <c r="BS96" s="74">
        <v>4</v>
      </c>
      <c r="BT96" s="74">
        <v>3</v>
      </c>
      <c r="BU96" s="74">
        <v>10</v>
      </c>
    </row>
    <row r="97" spans="2:73" x14ac:dyDescent="0.25">
      <c r="B97" s="49">
        <f t="shared" si="12"/>
        <v>2.333333333333333</v>
      </c>
      <c r="C97" s="8">
        <v>15</v>
      </c>
      <c r="D97" s="8">
        <v>1</v>
      </c>
      <c r="E97" s="8">
        <v>1</v>
      </c>
      <c r="J97" s="49">
        <f t="shared" si="11"/>
        <v>7.95</v>
      </c>
      <c r="K97" s="8">
        <v>117</v>
      </c>
      <c r="L97" s="8">
        <v>79</v>
      </c>
      <c r="M97" s="8">
        <v>2</v>
      </c>
      <c r="N97" s="8">
        <v>1.2</v>
      </c>
      <c r="Y97" s="1" t="s">
        <v>74</v>
      </c>
      <c r="AA97" s="1" t="s">
        <v>40</v>
      </c>
      <c r="BF97" s="73">
        <v>34</v>
      </c>
      <c r="BG97" s="73">
        <v>14</v>
      </c>
      <c r="BH97" s="73">
        <v>4</v>
      </c>
      <c r="BI97" s="73">
        <v>12</v>
      </c>
      <c r="BL97" s="49">
        <f t="shared" si="9"/>
        <v>3.8333333333333335</v>
      </c>
      <c r="BM97" s="49">
        <f t="shared" si="10"/>
        <v>17.75</v>
      </c>
      <c r="BN97" s="55" t="s">
        <v>170</v>
      </c>
      <c r="BO97" s="55" t="s">
        <v>249</v>
      </c>
      <c r="BP97" s="74">
        <v>54.4</v>
      </c>
      <c r="BR97" s="74">
        <v>17</v>
      </c>
      <c r="BS97" s="74">
        <v>9</v>
      </c>
      <c r="BT97" s="74">
        <v>3</v>
      </c>
      <c r="BU97" s="74">
        <v>10</v>
      </c>
    </row>
    <row r="98" spans="2:73" x14ac:dyDescent="0.25">
      <c r="B98" s="49">
        <f t="shared" si="12"/>
        <v>2.583333333333333</v>
      </c>
      <c r="C98" s="8">
        <v>18</v>
      </c>
      <c r="D98" s="8">
        <v>1</v>
      </c>
      <c r="E98" s="8">
        <v>1</v>
      </c>
      <c r="J98" s="49">
        <f t="shared" si="11"/>
        <v>8.3833333333333329</v>
      </c>
      <c r="K98" s="8">
        <v>128</v>
      </c>
      <c r="L98" s="8">
        <v>83</v>
      </c>
      <c r="M98" s="8">
        <v>2</v>
      </c>
      <c r="N98" s="8">
        <v>1.3</v>
      </c>
      <c r="S98" s="8" t="s">
        <v>62</v>
      </c>
      <c r="T98" s="8"/>
      <c r="U98" s="8" t="s">
        <v>60</v>
      </c>
      <c r="V98" s="8" t="s">
        <v>61</v>
      </c>
      <c r="BF98" s="73">
        <v>36</v>
      </c>
      <c r="BG98" s="73">
        <v>14</v>
      </c>
      <c r="BH98" s="73">
        <v>6</v>
      </c>
      <c r="BI98" s="73">
        <v>12</v>
      </c>
      <c r="BL98" s="49">
        <f t="shared" si="9"/>
        <v>4.083333333333333</v>
      </c>
      <c r="BM98" s="49">
        <f t="shared" si="10"/>
        <v>9.5833333333333339</v>
      </c>
      <c r="BN98" s="55" t="s">
        <v>215</v>
      </c>
      <c r="BO98" s="55" t="s">
        <v>216</v>
      </c>
      <c r="BP98" s="74">
        <v>32.6</v>
      </c>
      <c r="BR98" s="74">
        <v>9</v>
      </c>
      <c r="BS98" s="74">
        <v>7</v>
      </c>
      <c r="BT98" s="74">
        <v>4</v>
      </c>
      <c r="BU98" s="74">
        <v>1</v>
      </c>
    </row>
    <row r="99" spans="2:73" x14ac:dyDescent="0.25">
      <c r="B99" s="49">
        <f t="shared" si="12"/>
        <v>2.833333333333333</v>
      </c>
      <c r="C99" s="8">
        <v>21</v>
      </c>
      <c r="D99" s="8">
        <v>1</v>
      </c>
      <c r="E99" s="8">
        <v>1</v>
      </c>
      <c r="J99" s="49">
        <f t="shared" si="11"/>
        <v>8.7166666666666668</v>
      </c>
      <c r="K99" s="8">
        <v>137</v>
      </c>
      <c r="L99" s="8">
        <v>87</v>
      </c>
      <c r="M99" s="8">
        <v>2</v>
      </c>
      <c r="N99" s="8">
        <v>1.3</v>
      </c>
      <c r="S99" s="8" t="s">
        <v>66</v>
      </c>
      <c r="T99" s="8" t="s">
        <v>63</v>
      </c>
      <c r="U99" s="8" t="s">
        <v>64</v>
      </c>
      <c r="V99" s="8" t="s">
        <v>65</v>
      </c>
      <c r="Y99" s="53" t="s">
        <v>69</v>
      </c>
      <c r="Z99" s="47" t="s">
        <v>95</v>
      </c>
      <c r="BF99" s="73">
        <v>38</v>
      </c>
      <c r="BG99" s="73">
        <v>15</v>
      </c>
      <c r="BH99" s="73">
        <v>6</v>
      </c>
      <c r="BI99" s="73">
        <v>12</v>
      </c>
      <c r="BL99" s="49">
        <f t="shared" si="9"/>
        <v>4.083333333333333</v>
      </c>
      <c r="BM99" s="49">
        <f t="shared" si="10"/>
        <v>14.666666666666666</v>
      </c>
      <c r="BN99" s="55" t="s">
        <v>157</v>
      </c>
      <c r="BO99" s="55" t="s">
        <v>216</v>
      </c>
      <c r="BP99" s="74">
        <v>51.5</v>
      </c>
      <c r="BR99" s="74">
        <v>14</v>
      </c>
      <c r="BS99" s="74">
        <v>8</v>
      </c>
      <c r="BT99" s="74">
        <v>4</v>
      </c>
      <c r="BU99" s="74">
        <v>1</v>
      </c>
    </row>
    <row r="100" spans="2:73" x14ac:dyDescent="0.25">
      <c r="B100" s="49">
        <f t="shared" si="12"/>
        <v>3.0833333333333335</v>
      </c>
      <c r="C100" s="8">
        <v>24</v>
      </c>
      <c r="D100" s="8">
        <v>1</v>
      </c>
      <c r="E100" s="8">
        <v>1</v>
      </c>
      <c r="J100" s="49">
        <f t="shared" si="11"/>
        <v>9.0500000000000007</v>
      </c>
      <c r="K100" s="8">
        <v>142</v>
      </c>
      <c r="L100" s="8">
        <v>91</v>
      </c>
      <c r="M100" s="8">
        <v>2</v>
      </c>
      <c r="N100" s="8">
        <v>1.3</v>
      </c>
      <c r="S100" s="11" t="s">
        <v>53</v>
      </c>
      <c r="T100" s="11" t="s">
        <v>48</v>
      </c>
      <c r="U100" s="11" t="s">
        <v>48</v>
      </c>
      <c r="V100" s="11" t="s">
        <v>53</v>
      </c>
      <c r="BF100" s="73">
        <v>40</v>
      </c>
      <c r="BG100" s="73">
        <v>16</v>
      </c>
      <c r="BH100" s="73">
        <v>6</v>
      </c>
      <c r="BI100" s="73">
        <v>12</v>
      </c>
      <c r="BL100" s="49">
        <f t="shared" si="9"/>
        <v>4.166666666666667</v>
      </c>
      <c r="BM100" s="49">
        <f t="shared" si="10"/>
        <v>19.083333333333332</v>
      </c>
      <c r="BN100" s="55" t="s">
        <v>177</v>
      </c>
      <c r="BO100" s="55" t="s">
        <v>268</v>
      </c>
      <c r="BP100" s="74">
        <v>63.3</v>
      </c>
      <c r="BR100" s="74">
        <v>19</v>
      </c>
      <c r="BS100" s="74">
        <v>1</v>
      </c>
      <c r="BT100" s="74">
        <v>4</v>
      </c>
      <c r="BU100" s="74">
        <v>2</v>
      </c>
    </row>
    <row r="101" spans="2:73" x14ac:dyDescent="0.25">
      <c r="B101" s="49">
        <f t="shared" si="12"/>
        <v>3.5833333333333335</v>
      </c>
      <c r="C101" s="8">
        <v>30</v>
      </c>
      <c r="D101" s="8">
        <v>1</v>
      </c>
      <c r="E101" s="8">
        <v>1</v>
      </c>
      <c r="AA101" s="8" t="s">
        <v>96</v>
      </c>
      <c r="BL101" s="49">
        <f t="shared" si="9"/>
        <v>4.25</v>
      </c>
      <c r="BM101" s="49">
        <f t="shared" si="10"/>
        <v>10.916666666666666</v>
      </c>
      <c r="BN101" s="55" t="s">
        <v>221</v>
      </c>
      <c r="BO101" s="55" t="s">
        <v>229</v>
      </c>
      <c r="BP101" s="74">
        <v>39.5</v>
      </c>
      <c r="BR101" s="74">
        <v>10</v>
      </c>
      <c r="BS101" s="74">
        <v>11</v>
      </c>
      <c r="BT101" s="74">
        <v>4</v>
      </c>
      <c r="BU101" s="74">
        <v>3</v>
      </c>
    </row>
    <row r="102" spans="2:73" x14ac:dyDescent="0.25">
      <c r="B102" s="49">
        <f t="shared" si="12"/>
        <v>4.0833333333333339</v>
      </c>
      <c r="C102" s="8">
        <v>36</v>
      </c>
      <c r="D102" s="8">
        <v>1</v>
      </c>
      <c r="E102" s="8">
        <v>1</v>
      </c>
      <c r="S102" s="49">
        <f t="shared" ref="S102:S110" si="13">(T102+U102)/12+V102</f>
        <v>2.145833333333333</v>
      </c>
      <c r="T102" s="8">
        <v>12</v>
      </c>
      <c r="U102" s="8">
        <v>1.75</v>
      </c>
      <c r="V102" s="8">
        <v>1</v>
      </c>
      <c r="Z102" s="8" t="s">
        <v>62</v>
      </c>
      <c r="AA102" s="8" t="s">
        <v>97</v>
      </c>
      <c r="AB102" s="8" t="s">
        <v>60</v>
      </c>
      <c r="AC102" s="8" t="s">
        <v>61</v>
      </c>
      <c r="BL102" s="49">
        <f t="shared" si="9"/>
        <v>4.25</v>
      </c>
      <c r="BM102" s="49">
        <f t="shared" si="10"/>
        <v>16</v>
      </c>
      <c r="BN102" s="55" t="s">
        <v>164</v>
      </c>
      <c r="BO102" s="55" t="s">
        <v>229</v>
      </c>
      <c r="BP102" s="74">
        <v>59.5</v>
      </c>
      <c r="BR102" s="74">
        <v>16</v>
      </c>
      <c r="BS102" s="74">
        <v>0</v>
      </c>
      <c r="BT102" s="74">
        <v>4</v>
      </c>
      <c r="BU102" s="74">
        <v>3</v>
      </c>
    </row>
    <row r="103" spans="2:73" x14ac:dyDescent="0.25">
      <c r="B103" s="49">
        <f t="shared" si="12"/>
        <v>4.5833333333333339</v>
      </c>
      <c r="C103" s="8">
        <v>42</v>
      </c>
      <c r="D103" s="8">
        <v>1</v>
      </c>
      <c r="E103" s="8">
        <v>1</v>
      </c>
      <c r="I103" s="48">
        <v>4</v>
      </c>
      <c r="J103" s="47" t="s">
        <v>86</v>
      </c>
      <c r="S103" s="49">
        <f t="shared" si="13"/>
        <v>2.40625</v>
      </c>
      <c r="T103" s="8">
        <v>15</v>
      </c>
      <c r="U103" s="8">
        <f>1+7/8</f>
        <v>1.875</v>
      </c>
      <c r="V103" s="8">
        <v>1</v>
      </c>
      <c r="Z103" s="8" t="s">
        <v>66</v>
      </c>
      <c r="AA103" s="8" t="s">
        <v>63</v>
      </c>
      <c r="AB103" s="8" t="s">
        <v>64</v>
      </c>
      <c r="AC103" s="8" t="s">
        <v>65</v>
      </c>
      <c r="BL103" s="49">
        <f t="shared" si="9"/>
        <v>4.416666666666667</v>
      </c>
      <c r="BM103" s="49">
        <f t="shared" si="10"/>
        <v>12.25</v>
      </c>
      <c r="BN103" s="55" t="s">
        <v>241</v>
      </c>
      <c r="BO103" s="55" t="s">
        <v>242</v>
      </c>
      <c r="BP103" s="74">
        <v>46.9</v>
      </c>
      <c r="BR103" s="74">
        <v>12</v>
      </c>
      <c r="BS103" s="74">
        <v>3</v>
      </c>
      <c r="BT103" s="74">
        <v>4</v>
      </c>
      <c r="BU103" s="74">
        <v>5</v>
      </c>
    </row>
    <row r="104" spans="2:73" x14ac:dyDescent="0.25">
      <c r="B104" s="49">
        <f t="shared" si="12"/>
        <v>5.083333333333333</v>
      </c>
      <c r="C104" s="8">
        <v>48</v>
      </c>
      <c r="D104" s="8">
        <v>1</v>
      </c>
      <c r="E104" s="8">
        <v>1</v>
      </c>
      <c r="S104" s="49">
        <f t="shared" si="13"/>
        <v>2.6875</v>
      </c>
      <c r="T104" s="8">
        <v>18</v>
      </c>
      <c r="U104" s="8">
        <v>2.25</v>
      </c>
      <c r="V104" s="8">
        <v>1</v>
      </c>
      <c r="Z104" s="11" t="s">
        <v>53</v>
      </c>
      <c r="AA104" s="11" t="s">
        <v>48</v>
      </c>
      <c r="AB104" s="11" t="s">
        <v>48</v>
      </c>
      <c r="AC104" s="11" t="s">
        <v>53</v>
      </c>
      <c r="BL104" s="49">
        <f t="shared" si="9"/>
        <v>4.5</v>
      </c>
      <c r="BM104" s="49">
        <f t="shared" si="10"/>
        <v>20.333333333333332</v>
      </c>
      <c r="BN104" s="55" t="s">
        <v>183</v>
      </c>
      <c r="BO104" s="55" t="s">
        <v>273</v>
      </c>
      <c r="BP104" s="74">
        <v>73.099999999999994</v>
      </c>
      <c r="BR104" s="74">
        <v>20</v>
      </c>
      <c r="BS104" s="74">
        <v>4</v>
      </c>
      <c r="BT104" s="74">
        <v>4</v>
      </c>
      <c r="BU104" s="74">
        <v>6</v>
      </c>
    </row>
    <row r="105" spans="2:73" x14ac:dyDescent="0.25">
      <c r="B105" s="49">
        <f t="shared" si="12"/>
        <v>5.583333333333333</v>
      </c>
      <c r="C105" s="8">
        <v>54</v>
      </c>
      <c r="D105" s="8">
        <v>1</v>
      </c>
      <c r="E105" s="8">
        <v>1</v>
      </c>
      <c r="J105" s="8" t="s">
        <v>62</v>
      </c>
      <c r="K105" s="8"/>
      <c r="M105" s="8" t="s">
        <v>60</v>
      </c>
      <c r="N105" s="8" t="s">
        <v>61</v>
      </c>
      <c r="S105" s="49">
        <f t="shared" si="13"/>
        <v>2.979166666666667</v>
      </c>
      <c r="T105" s="8">
        <v>21</v>
      </c>
      <c r="U105" s="8">
        <v>2.75</v>
      </c>
      <c r="V105" s="8">
        <v>1</v>
      </c>
      <c r="BL105" s="49">
        <f t="shared" si="9"/>
        <v>4.583333333333333</v>
      </c>
      <c r="BM105" s="49">
        <f t="shared" si="10"/>
        <v>13.583333333333334</v>
      </c>
      <c r="BN105" s="55" t="s">
        <v>153</v>
      </c>
      <c r="BO105" s="55" t="s">
        <v>250</v>
      </c>
      <c r="BP105" s="74">
        <v>54.8</v>
      </c>
      <c r="BR105" s="74">
        <v>13</v>
      </c>
      <c r="BS105" s="74">
        <v>7</v>
      </c>
      <c r="BT105" s="74">
        <v>4</v>
      </c>
      <c r="BU105" s="74">
        <v>7</v>
      </c>
    </row>
    <row r="106" spans="2:73" x14ac:dyDescent="0.25">
      <c r="B106" s="49">
        <f t="shared" si="12"/>
        <v>6.083333333333333</v>
      </c>
      <c r="C106" s="8">
        <v>60</v>
      </c>
      <c r="D106" s="8">
        <v>1</v>
      </c>
      <c r="E106" s="8">
        <v>1</v>
      </c>
      <c r="J106" s="8" t="s">
        <v>66</v>
      </c>
      <c r="K106" s="8" t="s">
        <v>49</v>
      </c>
      <c r="L106" s="8" t="s">
        <v>54</v>
      </c>
      <c r="M106" s="8" t="s">
        <v>64</v>
      </c>
      <c r="N106" s="8" t="s">
        <v>65</v>
      </c>
      <c r="S106" s="49">
        <f t="shared" si="13"/>
        <v>3.28125</v>
      </c>
      <c r="T106" s="8">
        <v>24</v>
      </c>
      <c r="U106" s="8">
        <f>3+3/8</f>
        <v>3.375</v>
      </c>
      <c r="V106" s="8">
        <v>1</v>
      </c>
      <c r="Z106" s="49">
        <f t="shared" ref="Z106:Z114" si="14">(AA106+AB106)/12+AC106</f>
        <v>3.104166666666667</v>
      </c>
      <c r="AA106" s="8">
        <v>12</v>
      </c>
      <c r="AB106" s="8">
        <v>1.25</v>
      </c>
      <c r="AC106" s="8">
        <v>2</v>
      </c>
      <c r="BL106" s="49">
        <f t="shared" si="9"/>
        <v>4.583333333333333</v>
      </c>
      <c r="BM106" s="49">
        <f t="shared" si="10"/>
        <v>18.166666666666668</v>
      </c>
      <c r="BN106" s="55" t="s">
        <v>171</v>
      </c>
      <c r="BO106" s="55" t="s">
        <v>250</v>
      </c>
      <c r="BP106" s="74">
        <v>68.3</v>
      </c>
      <c r="BR106" s="74">
        <v>18</v>
      </c>
      <c r="BS106" s="74">
        <v>2</v>
      </c>
      <c r="BT106" s="74">
        <v>4</v>
      </c>
      <c r="BU106" s="74">
        <v>7</v>
      </c>
    </row>
    <row r="107" spans="2:73" x14ac:dyDescent="0.25">
      <c r="B107" s="49">
        <f t="shared" si="12"/>
        <v>6.583333333333333</v>
      </c>
      <c r="C107" s="8">
        <v>66</v>
      </c>
      <c r="D107" s="8">
        <v>1</v>
      </c>
      <c r="E107" s="8">
        <v>1</v>
      </c>
      <c r="J107" s="11" t="s">
        <v>53</v>
      </c>
      <c r="K107" s="11" t="s">
        <v>48</v>
      </c>
      <c r="L107" s="11" t="s">
        <v>48</v>
      </c>
      <c r="M107" s="11" t="s">
        <v>48</v>
      </c>
      <c r="N107" s="11" t="s">
        <v>53</v>
      </c>
      <c r="S107" s="49">
        <f t="shared" si="13"/>
        <v>3.5625</v>
      </c>
      <c r="T107" s="8">
        <v>27</v>
      </c>
      <c r="U107" s="8">
        <v>3.75</v>
      </c>
      <c r="V107" s="8">
        <v>1</v>
      </c>
      <c r="Z107" s="49">
        <f t="shared" si="14"/>
        <v>3.354166666666667</v>
      </c>
      <c r="AA107" s="8">
        <v>15</v>
      </c>
      <c r="AB107" s="8">
        <v>1.25</v>
      </c>
      <c r="AC107" s="8">
        <v>2</v>
      </c>
      <c r="BL107" s="49">
        <f t="shared" si="9"/>
        <v>4.833333333333333</v>
      </c>
      <c r="BM107" s="49">
        <f t="shared" si="10"/>
        <v>10</v>
      </c>
      <c r="BN107" s="55" t="s">
        <v>217</v>
      </c>
      <c r="BO107" s="55" t="s">
        <v>218</v>
      </c>
      <c r="BP107" s="74">
        <v>40.200000000000003</v>
      </c>
      <c r="BR107" s="74">
        <v>10</v>
      </c>
      <c r="BS107" s="74">
        <v>0</v>
      </c>
      <c r="BT107" s="74">
        <v>4</v>
      </c>
      <c r="BU107" s="74">
        <v>10</v>
      </c>
    </row>
    <row r="108" spans="2:73" x14ac:dyDescent="0.25">
      <c r="B108" s="49">
        <f t="shared" si="12"/>
        <v>7.083333333333333</v>
      </c>
      <c r="C108" s="8">
        <v>72</v>
      </c>
      <c r="D108" s="8">
        <v>1</v>
      </c>
      <c r="E108" s="8">
        <v>1</v>
      </c>
      <c r="S108" s="49">
        <f t="shared" si="13"/>
        <v>3.8541666666666665</v>
      </c>
      <c r="T108" s="8">
        <v>30</v>
      </c>
      <c r="U108" s="8">
        <v>4.25</v>
      </c>
      <c r="V108" s="8">
        <v>1</v>
      </c>
      <c r="Z108" s="49">
        <f t="shared" si="14"/>
        <v>3.645833333333333</v>
      </c>
      <c r="AA108" s="8">
        <v>18</v>
      </c>
      <c r="AB108" s="8">
        <v>1.75</v>
      </c>
      <c r="AC108" s="8">
        <v>2</v>
      </c>
      <c r="BL108" s="49">
        <f t="shared" si="9"/>
        <v>4.833333333333333</v>
      </c>
      <c r="BM108" s="49">
        <f t="shared" si="10"/>
        <v>14.833333333333334</v>
      </c>
      <c r="BN108" s="55" t="s">
        <v>158</v>
      </c>
      <c r="BO108" s="55" t="s">
        <v>218</v>
      </c>
      <c r="BP108" s="74">
        <v>63.2</v>
      </c>
      <c r="BR108" s="74">
        <v>14</v>
      </c>
      <c r="BS108" s="74">
        <v>10</v>
      </c>
      <c r="BT108" s="74">
        <v>4</v>
      </c>
      <c r="BU108" s="74">
        <v>10</v>
      </c>
    </row>
    <row r="109" spans="2:73" x14ac:dyDescent="0.25">
      <c r="B109" s="49">
        <f t="shared" si="12"/>
        <v>7.583333333333333</v>
      </c>
      <c r="C109" s="8">
        <v>78</v>
      </c>
      <c r="D109" s="8">
        <v>1</v>
      </c>
      <c r="E109" s="8">
        <v>1</v>
      </c>
      <c r="J109" s="8">
        <v>0</v>
      </c>
      <c r="K109" s="8" t="s">
        <v>67</v>
      </c>
      <c r="L109" s="8" t="s">
        <v>67</v>
      </c>
      <c r="S109" s="49">
        <f t="shared" si="13"/>
        <v>4.125</v>
      </c>
      <c r="T109" s="8">
        <v>33</v>
      </c>
      <c r="U109" s="8">
        <v>4.5</v>
      </c>
      <c r="V109" s="8">
        <v>1</v>
      </c>
      <c r="Z109" s="49">
        <f t="shared" si="14"/>
        <v>3.916666666666667</v>
      </c>
      <c r="AA109" s="8">
        <v>21</v>
      </c>
      <c r="AB109" s="8">
        <v>2</v>
      </c>
      <c r="AC109" s="8">
        <v>2</v>
      </c>
      <c r="BL109" s="49">
        <f t="shared" si="9"/>
        <v>4.916666666666667</v>
      </c>
      <c r="BM109" s="49">
        <f t="shared" si="10"/>
        <v>19.416666666666668</v>
      </c>
      <c r="BN109" s="55" t="s">
        <v>174</v>
      </c>
      <c r="BO109" s="55" t="s">
        <v>269</v>
      </c>
      <c r="BP109" s="74">
        <v>78.3</v>
      </c>
      <c r="BR109" s="74">
        <v>19</v>
      </c>
      <c r="BS109" s="74">
        <v>5</v>
      </c>
      <c r="BT109" s="74">
        <v>4</v>
      </c>
      <c r="BU109" s="74">
        <v>11</v>
      </c>
    </row>
    <row r="110" spans="2:73" x14ac:dyDescent="0.25">
      <c r="B110" s="49">
        <f t="shared" si="12"/>
        <v>8.0833333333333321</v>
      </c>
      <c r="C110" s="8">
        <v>84</v>
      </c>
      <c r="D110" s="8">
        <v>1</v>
      </c>
      <c r="E110" s="8">
        <v>1</v>
      </c>
      <c r="J110" s="49">
        <f t="shared" ref="J110:J119" si="15">(L110+M110)/12+N110</f>
        <v>2.666666666666667</v>
      </c>
      <c r="K110" s="8">
        <v>17</v>
      </c>
      <c r="L110" s="8">
        <v>13</v>
      </c>
      <c r="M110" s="8">
        <v>1</v>
      </c>
      <c r="N110" s="8">
        <v>1.5</v>
      </c>
      <c r="S110" s="49">
        <f t="shared" si="13"/>
        <v>4.3958333333333339</v>
      </c>
      <c r="T110" s="8">
        <v>36</v>
      </c>
      <c r="U110" s="8">
        <v>4.75</v>
      </c>
      <c r="V110" s="8">
        <v>1</v>
      </c>
      <c r="Z110" s="49">
        <f t="shared" si="14"/>
        <v>4.1666666666666661</v>
      </c>
      <c r="AA110" s="8">
        <v>24</v>
      </c>
      <c r="AB110" s="8">
        <v>2</v>
      </c>
      <c r="AC110" s="8">
        <v>2</v>
      </c>
      <c r="BL110" s="49">
        <f t="shared" si="9"/>
        <v>4.916666666666667</v>
      </c>
      <c r="BM110" s="49">
        <f t="shared" si="10"/>
        <v>21.583333333333332</v>
      </c>
      <c r="BN110" s="55" t="s">
        <v>190</v>
      </c>
      <c r="BO110" s="55" t="s">
        <v>269</v>
      </c>
      <c r="BP110" s="74">
        <v>83.8</v>
      </c>
      <c r="BR110" s="74">
        <v>21</v>
      </c>
      <c r="BS110" s="74">
        <v>7</v>
      </c>
      <c r="BT110" s="74">
        <v>4</v>
      </c>
      <c r="BU110" s="74">
        <v>11</v>
      </c>
    </row>
    <row r="111" spans="2:73" x14ac:dyDescent="0.25">
      <c r="J111" s="49">
        <f t="shared" si="15"/>
        <v>2.9333333333333336</v>
      </c>
      <c r="K111" s="8">
        <v>21</v>
      </c>
      <c r="L111" s="8">
        <v>15</v>
      </c>
      <c r="M111" s="8">
        <v>1</v>
      </c>
      <c r="N111" s="8">
        <v>1.6</v>
      </c>
      <c r="Z111" s="49">
        <f t="shared" si="14"/>
        <v>4.6875</v>
      </c>
      <c r="AA111" s="8">
        <v>30</v>
      </c>
      <c r="AB111" s="8">
        <v>2.25</v>
      </c>
      <c r="AC111" s="8">
        <v>2</v>
      </c>
      <c r="BL111" s="49">
        <f t="shared" si="9"/>
        <v>5</v>
      </c>
      <c r="BM111" s="49">
        <f t="shared" si="10"/>
        <v>11.333333333333334</v>
      </c>
      <c r="BN111" s="55" t="s">
        <v>223</v>
      </c>
      <c r="BO111" s="55" t="s">
        <v>230</v>
      </c>
      <c r="BP111" s="74">
        <v>48.2</v>
      </c>
      <c r="BR111" s="74">
        <v>11</v>
      </c>
      <c r="BS111" s="74">
        <v>4</v>
      </c>
      <c r="BT111" s="74">
        <v>5</v>
      </c>
      <c r="BU111" s="74">
        <v>0</v>
      </c>
    </row>
    <row r="112" spans="2:73" x14ac:dyDescent="0.25">
      <c r="J112" s="49">
        <f t="shared" si="15"/>
        <v>3.083333333333333</v>
      </c>
      <c r="K112" s="8">
        <v>24</v>
      </c>
      <c r="L112" s="8">
        <v>18</v>
      </c>
      <c r="M112" s="8">
        <v>1</v>
      </c>
      <c r="N112" s="8">
        <v>1.5</v>
      </c>
      <c r="Z112" s="49">
        <f t="shared" si="14"/>
        <v>5.2083333333333339</v>
      </c>
      <c r="AA112" s="8">
        <v>36</v>
      </c>
      <c r="AB112" s="8">
        <v>2.5</v>
      </c>
      <c r="AC112" s="8">
        <v>2</v>
      </c>
      <c r="BL112" s="49">
        <f t="shared" si="9"/>
        <v>5.083333333333333</v>
      </c>
      <c r="BM112" s="49">
        <f t="shared" si="10"/>
        <v>16.166666666666668</v>
      </c>
      <c r="BN112" s="55" t="s">
        <v>165</v>
      </c>
      <c r="BO112" s="55" t="s">
        <v>258</v>
      </c>
      <c r="BP112" s="74">
        <v>72.3</v>
      </c>
      <c r="BR112" s="74">
        <v>16</v>
      </c>
      <c r="BS112" s="74">
        <v>2</v>
      </c>
      <c r="BT112" s="74">
        <v>5</v>
      </c>
      <c r="BU112" s="74">
        <v>1</v>
      </c>
    </row>
    <row r="113" spans="1:73" x14ac:dyDescent="0.25">
      <c r="A113" s="8">
        <v>3</v>
      </c>
      <c r="B113" t="s">
        <v>75</v>
      </c>
      <c r="J113" s="49">
        <f t="shared" si="15"/>
        <v>3.35</v>
      </c>
      <c r="K113" s="8">
        <v>28</v>
      </c>
      <c r="L113" s="8">
        <v>20</v>
      </c>
      <c r="M113" s="8">
        <v>1</v>
      </c>
      <c r="N113" s="8">
        <v>1.6</v>
      </c>
      <c r="Z113" s="49">
        <f t="shared" si="14"/>
        <v>5.7291666666666661</v>
      </c>
      <c r="AA113" s="8">
        <v>42</v>
      </c>
      <c r="AB113" s="8">
        <v>2.75</v>
      </c>
      <c r="AC113" s="8">
        <v>2</v>
      </c>
      <c r="BL113" s="49">
        <f t="shared" si="9"/>
        <v>5.166666666666667</v>
      </c>
      <c r="BM113" s="49">
        <f t="shared" si="10"/>
        <v>12.583333333333334</v>
      </c>
      <c r="BN113" s="55" t="s">
        <v>243</v>
      </c>
      <c r="BO113" s="55" t="s">
        <v>244</v>
      </c>
      <c r="BP113" s="74">
        <v>56.6</v>
      </c>
      <c r="BR113" s="74">
        <v>12</v>
      </c>
      <c r="BS113" s="74">
        <v>7</v>
      </c>
      <c r="BT113" s="74">
        <v>5</v>
      </c>
      <c r="BU113" s="74">
        <v>2</v>
      </c>
    </row>
    <row r="114" spans="1:73" x14ac:dyDescent="0.25">
      <c r="J114" s="49">
        <f t="shared" si="15"/>
        <v>3.6833333333333336</v>
      </c>
      <c r="K114" s="8">
        <v>35</v>
      </c>
      <c r="L114" s="8">
        <v>24</v>
      </c>
      <c r="M114" s="8">
        <v>1</v>
      </c>
      <c r="N114" s="8">
        <v>1.6</v>
      </c>
      <c r="Z114" s="49">
        <f t="shared" si="14"/>
        <v>6.270833333333333</v>
      </c>
      <c r="AA114" s="8">
        <v>48</v>
      </c>
      <c r="AB114" s="8">
        <v>3.25</v>
      </c>
      <c r="AC114" s="8">
        <v>2</v>
      </c>
      <c r="BL114" s="49">
        <f t="shared" si="9"/>
        <v>5.25</v>
      </c>
      <c r="BM114" s="49">
        <f t="shared" si="10"/>
        <v>20.583333333333332</v>
      </c>
      <c r="BN114" s="55" t="s">
        <v>184</v>
      </c>
      <c r="BO114" s="55" t="s">
        <v>274</v>
      </c>
      <c r="BP114" s="74">
        <v>89.2</v>
      </c>
      <c r="BR114" s="74">
        <v>20</v>
      </c>
      <c r="BS114" s="74">
        <v>7</v>
      </c>
      <c r="BT114" s="74">
        <v>5</v>
      </c>
      <c r="BU114" s="74">
        <v>3</v>
      </c>
    </row>
    <row r="115" spans="1:73" x14ac:dyDescent="0.25">
      <c r="B115" s="8" t="s">
        <v>62</v>
      </c>
      <c r="D115" s="8" t="s">
        <v>60</v>
      </c>
      <c r="E115" s="8" t="s">
        <v>61</v>
      </c>
      <c r="J115" s="49">
        <f t="shared" si="15"/>
        <v>4.0999999999999996</v>
      </c>
      <c r="K115" s="8">
        <v>42</v>
      </c>
      <c r="L115" s="8">
        <v>29</v>
      </c>
      <c r="M115" s="8">
        <v>1</v>
      </c>
      <c r="N115" s="8">
        <v>1.6</v>
      </c>
      <c r="W115" s="8"/>
      <c r="BL115" s="49">
        <f t="shared" si="9"/>
        <v>5.333333333333333</v>
      </c>
      <c r="BM115" s="49">
        <f t="shared" si="10"/>
        <v>18.583333333333332</v>
      </c>
      <c r="BN115" s="55" t="s">
        <v>172</v>
      </c>
      <c r="BO115" s="55" t="s">
        <v>263</v>
      </c>
      <c r="BP115" s="74">
        <v>82.5</v>
      </c>
      <c r="BR115" s="74">
        <v>18</v>
      </c>
      <c r="BS115" s="74">
        <v>7</v>
      </c>
      <c r="BT115" s="74">
        <v>5</v>
      </c>
      <c r="BU115" s="74">
        <v>4</v>
      </c>
    </row>
    <row r="116" spans="1:73" x14ac:dyDescent="0.25">
      <c r="B116" s="8" t="s">
        <v>66</v>
      </c>
      <c r="C116" s="8" t="s">
        <v>63</v>
      </c>
      <c r="D116" s="8" t="s">
        <v>64</v>
      </c>
      <c r="E116" s="8" t="s">
        <v>65</v>
      </c>
      <c r="J116" s="49">
        <f t="shared" si="15"/>
        <v>4.4333333333333336</v>
      </c>
      <c r="K116" s="8">
        <v>49</v>
      </c>
      <c r="L116" s="8">
        <v>33</v>
      </c>
      <c r="M116" s="8">
        <v>1</v>
      </c>
      <c r="N116" s="8">
        <v>1.6</v>
      </c>
      <c r="BL116" s="49">
        <f t="shared" si="9"/>
        <v>5.333333333333333</v>
      </c>
      <c r="BM116" s="49">
        <f t="shared" si="10"/>
        <v>22.75</v>
      </c>
      <c r="BN116" s="55" t="s">
        <v>193</v>
      </c>
      <c r="BO116" s="55" t="s">
        <v>263</v>
      </c>
      <c r="BP116" s="74">
        <v>95.5</v>
      </c>
      <c r="BR116" s="74">
        <v>22</v>
      </c>
      <c r="BS116" s="74">
        <v>9</v>
      </c>
      <c r="BT116" s="74">
        <v>5</v>
      </c>
      <c r="BU116" s="74">
        <v>4</v>
      </c>
    </row>
    <row r="117" spans="1:73" x14ac:dyDescent="0.25">
      <c r="B117" s="11" t="s">
        <v>53</v>
      </c>
      <c r="C117" s="11" t="s">
        <v>48</v>
      </c>
      <c r="D117" s="11" t="s">
        <v>48</v>
      </c>
      <c r="E117" s="11" t="s">
        <v>53</v>
      </c>
      <c r="J117" s="49">
        <f t="shared" si="15"/>
        <v>4.8499999999999996</v>
      </c>
      <c r="K117" s="8">
        <v>57</v>
      </c>
      <c r="L117" s="8">
        <v>38</v>
      </c>
      <c r="M117" s="8">
        <v>1</v>
      </c>
      <c r="N117" s="8">
        <v>1.6</v>
      </c>
      <c r="Y117" s="53" t="s">
        <v>70</v>
      </c>
      <c r="Z117" s="47" t="s">
        <v>98</v>
      </c>
      <c r="BL117" s="49">
        <f t="shared" si="9"/>
        <v>5.416666666666667</v>
      </c>
      <c r="BM117" s="49">
        <f t="shared" si="10"/>
        <v>13.833333333333334</v>
      </c>
      <c r="BN117" s="55" t="s">
        <v>154</v>
      </c>
      <c r="BO117" s="55" t="s">
        <v>251</v>
      </c>
      <c r="BP117" s="74">
        <v>65.599999999999994</v>
      </c>
      <c r="BR117" s="74">
        <v>13</v>
      </c>
      <c r="BS117" s="74">
        <v>10</v>
      </c>
      <c r="BT117" s="74">
        <v>5</v>
      </c>
      <c r="BU117" s="74">
        <v>5</v>
      </c>
    </row>
    <row r="118" spans="1:73" x14ac:dyDescent="0.25">
      <c r="B118" s="8"/>
      <c r="C118" s="8"/>
      <c r="D118" s="8"/>
      <c r="E118" s="8"/>
      <c r="J118" s="49">
        <f t="shared" si="15"/>
        <v>5.2666666666666666</v>
      </c>
      <c r="K118" s="8">
        <v>64</v>
      </c>
      <c r="L118" s="8">
        <v>43</v>
      </c>
      <c r="M118" s="8">
        <v>1</v>
      </c>
      <c r="N118" s="8">
        <v>1.6</v>
      </c>
      <c r="BL118" s="49">
        <f t="shared" si="9"/>
        <v>5.583333333333333</v>
      </c>
      <c r="BM118" s="49">
        <f t="shared" si="10"/>
        <v>10.5</v>
      </c>
      <c r="BN118" s="55" t="s">
        <v>219</v>
      </c>
      <c r="BO118" s="55" t="s">
        <v>220</v>
      </c>
      <c r="BP118" s="74">
        <v>48.1</v>
      </c>
      <c r="BR118" s="74">
        <v>10</v>
      </c>
      <c r="BS118" s="74">
        <v>6</v>
      </c>
      <c r="BT118" s="74">
        <v>5</v>
      </c>
      <c r="BU118" s="74">
        <v>7</v>
      </c>
    </row>
    <row r="119" spans="1:73" x14ac:dyDescent="0.25">
      <c r="B119" s="8">
        <v>0</v>
      </c>
      <c r="C119" s="8" t="s">
        <v>67</v>
      </c>
      <c r="J119" s="49">
        <f t="shared" si="15"/>
        <v>5.6</v>
      </c>
      <c r="K119" s="8">
        <v>71</v>
      </c>
      <c r="L119" s="8">
        <v>47</v>
      </c>
      <c r="M119" s="8">
        <v>1</v>
      </c>
      <c r="N119" s="8">
        <v>1.6</v>
      </c>
      <c r="AA119" s="8" t="s">
        <v>96</v>
      </c>
      <c r="AB119" s="8"/>
      <c r="AC119" s="8"/>
      <c r="AD119" s="8"/>
      <c r="BL119" s="49">
        <f t="shared" ref="BL119:BL150" si="16">BT119+BU119/12</f>
        <v>5.666666666666667</v>
      </c>
      <c r="BM119" s="49">
        <f t="shared" ref="BM119:BM150" si="17">BR119+BS119/12</f>
        <v>15.083333333333334</v>
      </c>
      <c r="BN119" s="55" t="s">
        <v>159</v>
      </c>
      <c r="BO119" s="55" t="s">
        <v>253</v>
      </c>
      <c r="BP119" s="74">
        <v>75.099999999999994</v>
      </c>
      <c r="BR119" s="74">
        <v>15</v>
      </c>
      <c r="BS119" s="74">
        <v>1</v>
      </c>
      <c r="BT119" s="74">
        <v>5</v>
      </c>
      <c r="BU119" s="74">
        <v>8</v>
      </c>
    </row>
    <row r="120" spans="1:73" x14ac:dyDescent="0.25">
      <c r="B120" s="49">
        <v>2.083333333333333</v>
      </c>
      <c r="C120" s="8">
        <v>12</v>
      </c>
      <c r="D120" s="8">
        <v>1</v>
      </c>
      <c r="E120" s="8">
        <v>1</v>
      </c>
      <c r="Z120" s="8" t="s">
        <v>62</v>
      </c>
      <c r="AA120" s="8" t="s">
        <v>97</v>
      </c>
      <c r="AB120" s="8" t="s">
        <v>60</v>
      </c>
      <c r="AC120" s="8" t="s">
        <v>61</v>
      </c>
      <c r="BL120" s="49">
        <f t="shared" si="16"/>
        <v>5.666666666666667</v>
      </c>
      <c r="BM120" s="49">
        <f t="shared" si="17"/>
        <v>19.75</v>
      </c>
      <c r="BN120" s="55" t="s">
        <v>178</v>
      </c>
      <c r="BO120" s="55" t="s">
        <v>253</v>
      </c>
      <c r="BP120" s="74">
        <v>93.6</v>
      </c>
      <c r="BR120" s="74">
        <v>19</v>
      </c>
      <c r="BS120" s="74">
        <v>9</v>
      </c>
      <c r="BT120" s="74">
        <v>5</v>
      </c>
      <c r="BU120" s="74">
        <v>8</v>
      </c>
    </row>
    <row r="121" spans="1:73" x14ac:dyDescent="0.25">
      <c r="B121" s="49">
        <v>2.333333333333333</v>
      </c>
      <c r="C121" s="8">
        <v>15</v>
      </c>
      <c r="D121" s="8">
        <v>1</v>
      </c>
      <c r="E121" s="8">
        <v>1</v>
      </c>
      <c r="Z121" s="8" t="s">
        <v>66</v>
      </c>
      <c r="AA121" s="8" t="s">
        <v>63</v>
      </c>
      <c r="AB121" s="8" t="s">
        <v>64</v>
      </c>
      <c r="AC121" s="8" t="s">
        <v>65</v>
      </c>
      <c r="BL121" s="49">
        <f t="shared" si="16"/>
        <v>5.666666666666667</v>
      </c>
      <c r="BM121" s="49">
        <f t="shared" si="17"/>
        <v>21.833333333333332</v>
      </c>
      <c r="BN121" s="55" t="s">
        <v>188</v>
      </c>
      <c r="BO121" s="55" t="s">
        <v>253</v>
      </c>
      <c r="BP121" s="74">
        <v>101</v>
      </c>
      <c r="BR121" s="74">
        <v>21</v>
      </c>
      <c r="BS121" s="74">
        <v>10</v>
      </c>
      <c r="BT121" s="74">
        <v>5</v>
      </c>
      <c r="BU121" s="74">
        <v>8</v>
      </c>
    </row>
    <row r="122" spans="1:73" x14ac:dyDescent="0.25">
      <c r="B122" s="49">
        <v>2.583333333333333</v>
      </c>
      <c r="C122" s="8">
        <v>18</v>
      </c>
      <c r="D122" s="8">
        <v>1</v>
      </c>
      <c r="E122" s="8">
        <v>1</v>
      </c>
      <c r="I122" s="48">
        <v>12</v>
      </c>
      <c r="J122" s="47" t="s">
        <v>87</v>
      </c>
      <c r="Z122" s="11" t="s">
        <v>53</v>
      </c>
      <c r="AA122" s="11" t="s">
        <v>48</v>
      </c>
      <c r="AB122" s="11" t="s">
        <v>48</v>
      </c>
      <c r="AC122" s="11" t="s">
        <v>53</v>
      </c>
      <c r="BL122" s="49">
        <f t="shared" si="16"/>
        <v>5.75</v>
      </c>
      <c r="BM122" s="49">
        <f t="shared" si="17"/>
        <v>11.666666666666666</v>
      </c>
      <c r="BN122" s="55" t="s">
        <v>231</v>
      </c>
      <c r="BO122" s="55" t="s">
        <v>232</v>
      </c>
      <c r="BP122" s="74">
        <v>57.2</v>
      </c>
      <c r="BR122" s="74">
        <v>11</v>
      </c>
      <c r="BS122" s="74">
        <v>8</v>
      </c>
      <c r="BT122" s="74">
        <v>5</v>
      </c>
      <c r="BU122" s="74">
        <v>9</v>
      </c>
    </row>
    <row r="123" spans="1:73" x14ac:dyDescent="0.25">
      <c r="B123" s="49">
        <v>2.833333333333333</v>
      </c>
      <c r="C123" s="8">
        <v>21</v>
      </c>
      <c r="D123" s="8">
        <v>1</v>
      </c>
      <c r="E123" s="8">
        <v>1</v>
      </c>
      <c r="Z123" s="8"/>
      <c r="AA123" s="8"/>
      <c r="AB123" s="8"/>
      <c r="AC123" s="8"/>
      <c r="BL123" s="49">
        <f t="shared" si="16"/>
        <v>5.75</v>
      </c>
      <c r="BM123" s="49">
        <f t="shared" si="17"/>
        <v>24</v>
      </c>
      <c r="BN123" s="55" t="s">
        <v>200</v>
      </c>
      <c r="BO123" s="55" t="s">
        <v>232</v>
      </c>
      <c r="BP123" s="74">
        <v>108.2</v>
      </c>
      <c r="BR123" s="74">
        <v>24</v>
      </c>
      <c r="BS123" s="74">
        <v>0</v>
      </c>
      <c r="BT123" s="74">
        <v>5</v>
      </c>
      <c r="BU123" s="74">
        <v>9</v>
      </c>
    </row>
    <row r="124" spans="1:73" x14ac:dyDescent="0.25">
      <c r="B124" s="49">
        <v>3.0833333333333335</v>
      </c>
      <c r="C124" s="8">
        <v>24</v>
      </c>
      <c r="D124" s="8">
        <v>1</v>
      </c>
      <c r="E124" s="8">
        <v>1</v>
      </c>
      <c r="J124" s="8" t="s">
        <v>62</v>
      </c>
      <c r="K124" s="8"/>
      <c r="M124" s="8" t="s">
        <v>60</v>
      </c>
      <c r="N124" s="8" t="s">
        <v>61</v>
      </c>
      <c r="Z124" s="49">
        <v>3.1818181818181817</v>
      </c>
      <c r="AA124" s="8">
        <v>13</v>
      </c>
      <c r="AB124" s="49">
        <v>1.1818181818181819</v>
      </c>
      <c r="AC124" s="8">
        <v>2</v>
      </c>
      <c r="BL124" s="49">
        <f t="shared" si="16"/>
        <v>5.916666666666667</v>
      </c>
      <c r="BM124" s="49">
        <f t="shared" si="17"/>
        <v>16.333333333333332</v>
      </c>
      <c r="BN124" s="55" t="s">
        <v>166</v>
      </c>
      <c r="BO124" s="55" t="s">
        <v>259</v>
      </c>
      <c r="BP124" s="74">
        <v>85.2</v>
      </c>
      <c r="BR124" s="74">
        <v>16</v>
      </c>
      <c r="BS124" s="74">
        <v>4</v>
      </c>
      <c r="BT124" s="74">
        <v>5</v>
      </c>
      <c r="BU124" s="74">
        <v>11</v>
      </c>
    </row>
    <row r="125" spans="1:73" x14ac:dyDescent="0.25">
      <c r="B125" s="49">
        <v>3.3333333333333335</v>
      </c>
      <c r="C125" s="8">
        <v>27</v>
      </c>
      <c r="D125" s="8">
        <v>1</v>
      </c>
      <c r="E125" s="8">
        <v>1</v>
      </c>
      <c r="J125" s="8" t="s">
        <v>66</v>
      </c>
      <c r="K125" s="8" t="s">
        <v>49</v>
      </c>
      <c r="L125" s="8" t="s">
        <v>54</v>
      </c>
      <c r="M125" s="8" t="s">
        <v>64</v>
      </c>
      <c r="N125" s="8" t="s">
        <v>65</v>
      </c>
      <c r="Z125" s="49">
        <v>3.2727272727272725</v>
      </c>
      <c r="AA125" s="8">
        <v>14</v>
      </c>
      <c r="AB125" s="49">
        <v>1.2727272727272727</v>
      </c>
      <c r="AC125" s="8">
        <v>2</v>
      </c>
      <c r="BL125" s="49">
        <f t="shared" si="16"/>
        <v>6</v>
      </c>
      <c r="BM125" s="49">
        <f t="shared" si="17"/>
        <v>12.916666666666666</v>
      </c>
      <c r="BN125" s="55" t="s">
        <v>245</v>
      </c>
      <c r="BO125" s="55" t="s">
        <v>246</v>
      </c>
      <c r="BP125" s="74">
        <v>66.599999999999994</v>
      </c>
      <c r="BR125" s="74">
        <v>12</v>
      </c>
      <c r="BS125" s="74">
        <v>11</v>
      </c>
      <c r="BT125" s="74">
        <v>6</v>
      </c>
      <c r="BU125" s="74">
        <v>0</v>
      </c>
    </row>
    <row r="126" spans="1:73" x14ac:dyDescent="0.25">
      <c r="B126" s="49">
        <v>3.5833333333333335</v>
      </c>
      <c r="C126" s="8">
        <v>30</v>
      </c>
      <c r="D126" s="8">
        <v>1</v>
      </c>
      <c r="E126" s="8">
        <v>1</v>
      </c>
      <c r="J126" s="11" t="s">
        <v>53</v>
      </c>
      <c r="K126" s="11" t="s">
        <v>48</v>
      </c>
      <c r="L126" s="11" t="s">
        <v>48</v>
      </c>
      <c r="M126" s="11" t="s">
        <v>48</v>
      </c>
      <c r="N126" s="11" t="s">
        <v>53</v>
      </c>
      <c r="Z126" s="49">
        <v>3.6363636363636367</v>
      </c>
      <c r="AA126" s="8">
        <v>18</v>
      </c>
      <c r="AB126" s="49">
        <v>1.6363636363636365</v>
      </c>
      <c r="AC126" s="8">
        <v>2</v>
      </c>
      <c r="BL126" s="49">
        <f t="shared" si="16"/>
        <v>6.083333333333333</v>
      </c>
      <c r="BM126" s="49">
        <f t="shared" si="17"/>
        <v>19</v>
      </c>
      <c r="BN126" s="55" t="s">
        <v>173</v>
      </c>
      <c r="BO126" s="55" t="s">
        <v>264</v>
      </c>
      <c r="BP126" s="74">
        <v>97.1</v>
      </c>
      <c r="BR126" s="74">
        <v>19</v>
      </c>
      <c r="BS126" s="74">
        <v>0</v>
      </c>
      <c r="BT126" s="74">
        <v>6</v>
      </c>
      <c r="BU126" s="74">
        <v>1</v>
      </c>
    </row>
    <row r="127" spans="1:73" x14ac:dyDescent="0.25">
      <c r="B127" s="49">
        <v>3.8333333333333335</v>
      </c>
      <c r="C127" s="8">
        <v>33</v>
      </c>
      <c r="D127" s="8">
        <v>1</v>
      </c>
      <c r="E127" s="8">
        <v>1</v>
      </c>
      <c r="Z127" s="49">
        <v>3.8181818181818183</v>
      </c>
      <c r="AA127" s="8">
        <v>20</v>
      </c>
      <c r="AB127" s="49">
        <v>1.8181818181818181</v>
      </c>
      <c r="AC127" s="8">
        <v>2</v>
      </c>
      <c r="BL127" s="49">
        <f t="shared" si="16"/>
        <v>6.083333333333333</v>
      </c>
      <c r="BM127" s="49">
        <f t="shared" si="17"/>
        <v>20.916666666666668</v>
      </c>
      <c r="BN127" s="55" t="s">
        <v>185</v>
      </c>
      <c r="BO127" s="55" t="s">
        <v>264</v>
      </c>
      <c r="BP127" s="74">
        <v>105.5</v>
      </c>
      <c r="BR127" s="74">
        <v>20</v>
      </c>
      <c r="BS127" s="74">
        <v>11</v>
      </c>
      <c r="BT127" s="74">
        <v>6</v>
      </c>
      <c r="BU127" s="74">
        <v>1</v>
      </c>
    </row>
    <row r="128" spans="1:73" x14ac:dyDescent="0.25">
      <c r="B128" s="49">
        <v>4.0833333333333339</v>
      </c>
      <c r="C128" s="8">
        <v>36</v>
      </c>
      <c r="D128" s="8">
        <v>1</v>
      </c>
      <c r="E128" s="8">
        <v>1</v>
      </c>
      <c r="J128" s="8">
        <v>0</v>
      </c>
      <c r="K128" s="8" t="s">
        <v>67</v>
      </c>
      <c r="L128" s="8" t="s">
        <v>67</v>
      </c>
      <c r="Z128" s="49">
        <v>4</v>
      </c>
      <c r="AA128" s="8">
        <v>22</v>
      </c>
      <c r="AB128" s="49">
        <v>2</v>
      </c>
      <c r="AC128" s="8">
        <v>2</v>
      </c>
      <c r="BL128" s="49">
        <f t="shared" si="16"/>
        <v>6.083333333333333</v>
      </c>
      <c r="BM128" s="49">
        <f t="shared" si="17"/>
        <v>23</v>
      </c>
      <c r="BN128" s="55" t="s">
        <v>194</v>
      </c>
      <c r="BO128" s="55" t="s">
        <v>264</v>
      </c>
      <c r="BP128" s="74">
        <v>113.7</v>
      </c>
      <c r="BR128" s="74">
        <v>23</v>
      </c>
      <c r="BS128" s="74">
        <v>0</v>
      </c>
      <c r="BT128" s="74">
        <v>6</v>
      </c>
      <c r="BU128" s="74">
        <v>1</v>
      </c>
    </row>
    <row r="129" spans="1:73" x14ac:dyDescent="0.25">
      <c r="B129" s="49">
        <v>4.5833333333333339</v>
      </c>
      <c r="C129" s="8">
        <v>42</v>
      </c>
      <c r="D129" s="8">
        <v>1</v>
      </c>
      <c r="E129" s="8">
        <v>1</v>
      </c>
      <c r="J129" s="49">
        <f t="shared" ref="J129:J140" si="18">(L129+M129)/12+N129</f>
        <v>2.666666666666667</v>
      </c>
      <c r="K129" s="8">
        <v>17</v>
      </c>
      <c r="L129" s="8">
        <v>13</v>
      </c>
      <c r="M129" s="8">
        <v>1</v>
      </c>
      <c r="N129" s="8">
        <v>1.5</v>
      </c>
      <c r="Z129" s="49">
        <v>4.1818181818181817</v>
      </c>
      <c r="AA129" s="8">
        <v>24</v>
      </c>
      <c r="AB129" s="49">
        <v>2.1818181818181817</v>
      </c>
      <c r="AC129" s="8">
        <v>2</v>
      </c>
      <c r="BL129" s="49">
        <f t="shared" si="16"/>
        <v>6.166666666666667</v>
      </c>
      <c r="BM129" s="49">
        <f t="shared" si="17"/>
        <v>14.083333333333334</v>
      </c>
      <c r="BN129" s="55" t="s">
        <v>155</v>
      </c>
      <c r="BO129" s="55" t="s">
        <v>252</v>
      </c>
      <c r="BP129" s="74">
        <v>76.599999999999994</v>
      </c>
      <c r="BR129" s="74">
        <v>14</v>
      </c>
      <c r="BS129" s="74">
        <v>1</v>
      </c>
      <c r="BT129" s="74">
        <v>6</v>
      </c>
      <c r="BU129" s="74">
        <v>2</v>
      </c>
    </row>
    <row r="130" spans="1:73" x14ac:dyDescent="0.25">
      <c r="B130" s="49">
        <v>5.083333333333333</v>
      </c>
      <c r="C130" s="8">
        <v>48</v>
      </c>
      <c r="D130" s="8">
        <v>1</v>
      </c>
      <c r="E130" s="8">
        <v>1</v>
      </c>
      <c r="J130" s="49">
        <f t="shared" si="18"/>
        <v>2.9333333333333336</v>
      </c>
      <c r="K130" s="8">
        <v>21</v>
      </c>
      <c r="L130" s="8">
        <v>15</v>
      </c>
      <c r="M130" s="8">
        <v>1</v>
      </c>
      <c r="N130" s="8">
        <v>1.6</v>
      </c>
      <c r="Z130" s="49">
        <v>4.545454545454545</v>
      </c>
      <c r="AA130" s="8">
        <v>28</v>
      </c>
      <c r="AB130" s="49">
        <v>2.5454545454545454</v>
      </c>
      <c r="AC130" s="8">
        <v>2</v>
      </c>
      <c r="BL130" s="49">
        <f t="shared" si="16"/>
        <v>6.166666666666667</v>
      </c>
      <c r="BM130" s="49">
        <f t="shared" si="17"/>
        <v>25.166666666666668</v>
      </c>
      <c r="BN130" s="55" t="s">
        <v>207</v>
      </c>
      <c r="BO130" s="55" t="s">
        <v>252</v>
      </c>
      <c r="BP130" s="74">
        <v>122</v>
      </c>
      <c r="BR130" s="74">
        <v>25</v>
      </c>
      <c r="BS130" s="74">
        <v>2</v>
      </c>
      <c r="BT130" s="74">
        <v>6</v>
      </c>
      <c r="BU130" s="74">
        <v>2</v>
      </c>
    </row>
    <row r="131" spans="1:73" x14ac:dyDescent="0.25">
      <c r="B131" s="49">
        <v>5.583333333333333</v>
      </c>
      <c r="C131" s="8">
        <v>54</v>
      </c>
      <c r="D131" s="8">
        <v>1</v>
      </c>
      <c r="E131" s="8">
        <v>1</v>
      </c>
      <c r="J131" s="49">
        <f t="shared" si="18"/>
        <v>3.083333333333333</v>
      </c>
      <c r="K131" s="8">
        <v>24</v>
      </c>
      <c r="L131" s="8">
        <v>18</v>
      </c>
      <c r="M131" s="8">
        <v>1</v>
      </c>
      <c r="N131" s="8">
        <v>1.5</v>
      </c>
      <c r="Z131" s="49">
        <v>4.9090909090909083</v>
      </c>
      <c r="AA131" s="8">
        <v>32</v>
      </c>
      <c r="AB131" s="49">
        <v>2.9090909090909092</v>
      </c>
      <c r="AC131" s="8">
        <v>2</v>
      </c>
      <c r="BL131" s="49">
        <f t="shared" si="16"/>
        <v>6.333333333333333</v>
      </c>
      <c r="BM131" s="49">
        <f t="shared" si="17"/>
        <v>10.916666666666666</v>
      </c>
      <c r="BN131" s="55" t="s">
        <v>221</v>
      </c>
      <c r="BO131" s="55" t="s">
        <v>222</v>
      </c>
      <c r="BP131" s="74">
        <v>56.4</v>
      </c>
      <c r="BR131" s="74">
        <v>10</v>
      </c>
      <c r="BS131" s="74">
        <v>11</v>
      </c>
      <c r="BT131" s="74">
        <v>6</v>
      </c>
      <c r="BU131" s="74">
        <v>4</v>
      </c>
    </row>
    <row r="132" spans="1:73" x14ac:dyDescent="0.25">
      <c r="B132" s="49">
        <v>6.083333333333333</v>
      </c>
      <c r="C132" s="8">
        <v>60</v>
      </c>
      <c r="D132" s="8">
        <v>1</v>
      </c>
      <c r="E132" s="8">
        <v>1</v>
      </c>
      <c r="J132" s="49">
        <f t="shared" si="18"/>
        <v>3.35</v>
      </c>
      <c r="K132" s="8">
        <v>28</v>
      </c>
      <c r="L132" s="8">
        <v>20</v>
      </c>
      <c r="M132" s="8">
        <v>1</v>
      </c>
      <c r="N132" s="8">
        <v>1.6</v>
      </c>
      <c r="Z132" s="49">
        <v>5.0909090909090917</v>
      </c>
      <c r="AA132" s="8">
        <v>34</v>
      </c>
      <c r="AB132" s="49">
        <v>3.0909090909090908</v>
      </c>
      <c r="AC132" s="8">
        <v>2</v>
      </c>
      <c r="BL132" s="49">
        <f t="shared" si="16"/>
        <v>6.416666666666667</v>
      </c>
      <c r="BM132" s="49">
        <f t="shared" si="17"/>
        <v>15.333333333333334</v>
      </c>
      <c r="BN132" s="55" t="s">
        <v>160</v>
      </c>
      <c r="BO132" s="55" t="s">
        <v>254</v>
      </c>
      <c r="BP132" s="74">
        <v>87.2</v>
      </c>
      <c r="BR132" s="74">
        <v>15</v>
      </c>
      <c r="BS132" s="74">
        <v>4</v>
      </c>
      <c r="BT132" s="74">
        <v>6</v>
      </c>
      <c r="BU132" s="74">
        <v>5</v>
      </c>
    </row>
    <row r="133" spans="1:73" x14ac:dyDescent="0.25">
      <c r="B133" s="49">
        <v>6.583333333333333</v>
      </c>
      <c r="C133" s="8">
        <v>66</v>
      </c>
      <c r="D133" s="8">
        <v>1</v>
      </c>
      <c r="E133" s="8">
        <v>1</v>
      </c>
      <c r="J133" s="49">
        <f t="shared" si="18"/>
        <v>3.6833333333333336</v>
      </c>
      <c r="K133" s="8">
        <v>35</v>
      </c>
      <c r="L133" s="8">
        <v>24</v>
      </c>
      <c r="M133" s="8">
        <v>1</v>
      </c>
      <c r="N133" s="8">
        <v>1.6</v>
      </c>
      <c r="Z133" s="49">
        <v>5.8181818181818183</v>
      </c>
      <c r="AA133" s="8">
        <v>42</v>
      </c>
      <c r="AB133" s="49">
        <v>3.8181818181818183</v>
      </c>
      <c r="AC133" s="8">
        <v>2</v>
      </c>
      <c r="BL133" s="49">
        <f t="shared" si="16"/>
        <v>6.5</v>
      </c>
      <c r="BM133" s="49">
        <f t="shared" si="17"/>
        <v>20.083333333333332</v>
      </c>
      <c r="BN133" s="55" t="s">
        <v>179</v>
      </c>
      <c r="BO133" s="55" t="s">
        <v>270</v>
      </c>
      <c r="BP133" s="74">
        <v>109.2</v>
      </c>
      <c r="BR133" s="74">
        <v>20</v>
      </c>
      <c r="BS133" s="74">
        <v>1</v>
      </c>
      <c r="BT133" s="74">
        <v>6</v>
      </c>
      <c r="BU133" s="74">
        <v>6</v>
      </c>
    </row>
    <row r="134" spans="1:73" x14ac:dyDescent="0.25">
      <c r="B134" s="49">
        <v>7.083333333333333</v>
      </c>
      <c r="C134" s="8">
        <v>72</v>
      </c>
      <c r="D134" s="8">
        <v>1</v>
      </c>
      <c r="E134" s="8">
        <v>1</v>
      </c>
      <c r="J134" s="49">
        <f t="shared" si="18"/>
        <v>4.0999999999999996</v>
      </c>
      <c r="K134" s="8">
        <v>42</v>
      </c>
      <c r="L134" s="8">
        <v>29</v>
      </c>
      <c r="M134" s="8">
        <v>1</v>
      </c>
      <c r="N134" s="8">
        <v>1.6</v>
      </c>
      <c r="BL134" s="49">
        <f t="shared" si="16"/>
        <v>6.5</v>
      </c>
      <c r="BM134" s="49">
        <f t="shared" si="17"/>
        <v>22.083333333333332</v>
      </c>
      <c r="BN134" s="55" t="s">
        <v>189</v>
      </c>
      <c r="BO134" s="55" t="s">
        <v>270</v>
      </c>
      <c r="BP134" s="74">
        <v>118.4</v>
      </c>
      <c r="BR134" s="74">
        <v>22</v>
      </c>
      <c r="BS134" s="74">
        <v>1</v>
      </c>
      <c r="BT134" s="74">
        <v>6</v>
      </c>
      <c r="BU134" s="74">
        <v>6</v>
      </c>
    </row>
    <row r="135" spans="1:73" x14ac:dyDescent="0.25">
      <c r="J135" s="49">
        <f t="shared" si="18"/>
        <v>4.4333333333333336</v>
      </c>
      <c r="K135" s="8">
        <v>49</v>
      </c>
      <c r="L135" s="8">
        <v>33</v>
      </c>
      <c r="M135" s="8">
        <v>1</v>
      </c>
      <c r="N135" s="8">
        <v>1.6</v>
      </c>
      <c r="BL135" s="49">
        <f t="shared" si="16"/>
        <v>6.5</v>
      </c>
      <c r="BM135" s="49">
        <f t="shared" si="17"/>
        <v>24.083333333333332</v>
      </c>
      <c r="BN135" s="55" t="s">
        <v>201</v>
      </c>
      <c r="BO135" s="55" t="s">
        <v>270</v>
      </c>
      <c r="BP135" s="74">
        <v>127.5</v>
      </c>
      <c r="BR135" s="74">
        <v>24</v>
      </c>
      <c r="BS135" s="74">
        <v>1</v>
      </c>
      <c r="BT135" s="74">
        <v>6</v>
      </c>
      <c r="BU135" s="74">
        <v>6</v>
      </c>
    </row>
    <row r="136" spans="1:73" x14ac:dyDescent="0.25">
      <c r="J136" s="49">
        <f t="shared" si="18"/>
        <v>4.8499999999999996</v>
      </c>
      <c r="K136" s="8">
        <v>57</v>
      </c>
      <c r="L136" s="8">
        <v>38</v>
      </c>
      <c r="M136" s="8">
        <v>1</v>
      </c>
      <c r="N136" s="8">
        <v>1.6</v>
      </c>
      <c r="Y136" s="53" t="s">
        <v>99</v>
      </c>
      <c r="Z136" s="47" t="s">
        <v>100</v>
      </c>
      <c r="BL136" s="49">
        <f t="shared" si="16"/>
        <v>6.583333333333333</v>
      </c>
      <c r="BM136" s="49">
        <f t="shared" si="17"/>
        <v>12.083333333333334</v>
      </c>
      <c r="BN136" s="55" t="s">
        <v>233</v>
      </c>
      <c r="BO136" s="55" t="s">
        <v>234</v>
      </c>
      <c r="BP136" s="74">
        <v>66.400000000000006</v>
      </c>
      <c r="BR136" s="74">
        <v>12</v>
      </c>
      <c r="BS136" s="74">
        <v>1</v>
      </c>
      <c r="BT136" s="74">
        <v>6</v>
      </c>
      <c r="BU136" s="74">
        <v>7</v>
      </c>
    </row>
    <row r="137" spans="1:73" x14ac:dyDescent="0.25">
      <c r="A137" s="48">
        <v>11</v>
      </c>
      <c r="B137" s="47" t="s">
        <v>76</v>
      </c>
      <c r="J137" s="49">
        <f t="shared" si="18"/>
        <v>5.2666666666666666</v>
      </c>
      <c r="K137" s="8">
        <v>64</v>
      </c>
      <c r="L137" s="8">
        <v>43</v>
      </c>
      <c r="M137" s="8">
        <v>1</v>
      </c>
      <c r="N137" s="8">
        <v>1.6</v>
      </c>
      <c r="BL137" s="49">
        <f t="shared" si="16"/>
        <v>6.666666666666667</v>
      </c>
      <c r="BM137" s="49">
        <f t="shared" si="17"/>
        <v>16.5</v>
      </c>
      <c r="BN137" s="55" t="s">
        <v>167</v>
      </c>
      <c r="BO137" s="55" t="s">
        <v>260</v>
      </c>
      <c r="BP137" s="74">
        <v>98.3</v>
      </c>
      <c r="BR137" s="74">
        <v>16</v>
      </c>
      <c r="BS137" s="74">
        <v>6</v>
      </c>
      <c r="BT137" s="74">
        <v>6</v>
      </c>
      <c r="BU137" s="74">
        <v>8</v>
      </c>
    </row>
    <row r="138" spans="1:73" x14ac:dyDescent="0.25">
      <c r="J138" s="49">
        <f t="shared" si="18"/>
        <v>5.6</v>
      </c>
      <c r="K138" s="8">
        <v>71</v>
      </c>
      <c r="L138" s="8">
        <v>47</v>
      </c>
      <c r="M138" s="8">
        <v>1</v>
      </c>
      <c r="N138" s="8">
        <v>1.6</v>
      </c>
      <c r="Z138" s="8"/>
      <c r="AA138" s="8" t="s">
        <v>96</v>
      </c>
      <c r="AB138" s="8"/>
      <c r="AC138" s="8"/>
      <c r="BL138" s="49">
        <f t="shared" si="16"/>
        <v>6.75</v>
      </c>
      <c r="BM138" s="49">
        <f t="shared" si="17"/>
        <v>13.25</v>
      </c>
      <c r="BN138" s="55" t="s">
        <v>150</v>
      </c>
      <c r="BO138" s="55" t="s">
        <v>247</v>
      </c>
      <c r="BP138" s="74">
        <v>76.900000000000006</v>
      </c>
      <c r="BR138" s="74">
        <v>13</v>
      </c>
      <c r="BS138" s="74">
        <v>3</v>
      </c>
      <c r="BT138" s="74">
        <v>6</v>
      </c>
      <c r="BU138" s="74">
        <v>9</v>
      </c>
    </row>
    <row r="139" spans="1:73" x14ac:dyDescent="0.25">
      <c r="B139" s="8" t="s">
        <v>62</v>
      </c>
      <c r="D139" s="8" t="s">
        <v>60</v>
      </c>
      <c r="E139" s="8" t="s">
        <v>61</v>
      </c>
      <c r="J139" s="49">
        <f t="shared" si="18"/>
        <v>6.0166666666666675</v>
      </c>
      <c r="K139" s="8">
        <v>77</v>
      </c>
      <c r="L139" s="8">
        <v>52</v>
      </c>
      <c r="M139" s="8">
        <v>1</v>
      </c>
      <c r="N139" s="8">
        <v>1.6</v>
      </c>
      <c r="Z139" s="8" t="s">
        <v>62</v>
      </c>
      <c r="AA139" s="8" t="s">
        <v>97</v>
      </c>
      <c r="AB139" s="8" t="s">
        <v>60</v>
      </c>
      <c r="AC139" s="8" t="s">
        <v>61</v>
      </c>
      <c r="BL139" s="49">
        <f t="shared" si="16"/>
        <v>6.833333333333333</v>
      </c>
      <c r="BM139" s="49">
        <f t="shared" si="17"/>
        <v>21.25</v>
      </c>
      <c r="BN139" s="55" t="s">
        <v>186</v>
      </c>
      <c r="BO139" s="55" t="s">
        <v>275</v>
      </c>
      <c r="BP139" s="74">
        <v>122.1</v>
      </c>
      <c r="BR139" s="74">
        <v>21</v>
      </c>
      <c r="BS139" s="74">
        <v>3</v>
      </c>
      <c r="BT139" s="74">
        <v>6</v>
      </c>
      <c r="BU139" s="74">
        <v>10</v>
      </c>
    </row>
    <row r="140" spans="1:73" x14ac:dyDescent="0.25">
      <c r="B140" s="8" t="s">
        <v>66</v>
      </c>
      <c r="C140" s="8" t="s">
        <v>63</v>
      </c>
      <c r="D140" s="8" t="s">
        <v>64</v>
      </c>
      <c r="E140" s="8" t="s">
        <v>65</v>
      </c>
      <c r="J140" s="49">
        <f t="shared" si="18"/>
        <v>6.333333333333333</v>
      </c>
      <c r="K140" s="8">
        <v>83</v>
      </c>
      <c r="L140" s="8">
        <v>57</v>
      </c>
      <c r="M140" s="8">
        <v>1</v>
      </c>
      <c r="N140" s="8">
        <v>1.5</v>
      </c>
      <c r="Z140" s="8" t="s">
        <v>66</v>
      </c>
      <c r="AA140" s="8" t="s">
        <v>63</v>
      </c>
      <c r="AB140" s="8" t="s">
        <v>64</v>
      </c>
      <c r="AC140" s="8" t="s">
        <v>65</v>
      </c>
      <c r="BL140" s="49">
        <f t="shared" si="16"/>
        <v>6.916666666666667</v>
      </c>
      <c r="BM140" s="49">
        <f t="shared" si="17"/>
        <v>19.416666666666668</v>
      </c>
      <c r="BN140" s="55" t="s">
        <v>174</v>
      </c>
      <c r="BO140" s="55" t="s">
        <v>265</v>
      </c>
      <c r="BP140" s="74">
        <v>111.9</v>
      </c>
      <c r="BR140" s="74">
        <v>19</v>
      </c>
      <c r="BS140" s="74">
        <v>5</v>
      </c>
      <c r="BT140" s="74">
        <v>6</v>
      </c>
      <c r="BU140" s="74">
        <v>11</v>
      </c>
    </row>
    <row r="141" spans="1:73" x14ac:dyDescent="0.25">
      <c r="B141" s="11" t="s">
        <v>53</v>
      </c>
      <c r="C141" s="11" t="s">
        <v>48</v>
      </c>
      <c r="D141" s="11" t="s">
        <v>48</v>
      </c>
      <c r="E141" s="11" t="s">
        <v>53</v>
      </c>
      <c r="Z141" s="11" t="s">
        <v>53</v>
      </c>
      <c r="AA141" s="11" t="s">
        <v>48</v>
      </c>
      <c r="AB141" s="11" t="s">
        <v>48</v>
      </c>
      <c r="AC141" s="11" t="s">
        <v>53</v>
      </c>
      <c r="BL141" s="49">
        <f t="shared" si="16"/>
        <v>6.916666666666667</v>
      </c>
      <c r="BM141" s="49">
        <f t="shared" si="17"/>
        <v>23.166666666666668</v>
      </c>
      <c r="BN141" s="55" t="s">
        <v>195</v>
      </c>
      <c r="BO141" s="55" t="s">
        <v>265</v>
      </c>
      <c r="BP141" s="74">
        <v>132.1</v>
      </c>
      <c r="BR141" s="74">
        <v>23</v>
      </c>
      <c r="BS141" s="74">
        <v>2</v>
      </c>
      <c r="BT141" s="74">
        <v>6</v>
      </c>
      <c r="BU141" s="74">
        <v>11</v>
      </c>
    </row>
    <row r="142" spans="1:73" x14ac:dyDescent="0.25">
      <c r="B142" s="8"/>
      <c r="C142" s="8"/>
      <c r="D142" s="8"/>
      <c r="E142" s="8"/>
      <c r="Z142" s="8"/>
      <c r="AA142" s="8"/>
      <c r="AB142" s="8"/>
      <c r="AC142" s="8"/>
      <c r="BL142" s="49">
        <f t="shared" si="16"/>
        <v>7</v>
      </c>
      <c r="BM142" s="49">
        <f t="shared" si="17"/>
        <v>25.166666666666668</v>
      </c>
      <c r="BN142" s="55" t="s">
        <v>207</v>
      </c>
      <c r="BO142" s="55" t="s">
        <v>283</v>
      </c>
      <c r="BP142" s="74">
        <v>142.19999999999999</v>
      </c>
      <c r="BR142" s="74">
        <v>25</v>
      </c>
      <c r="BS142" s="74">
        <v>2</v>
      </c>
      <c r="BT142" s="74">
        <v>7</v>
      </c>
      <c r="BU142" s="74">
        <v>0</v>
      </c>
    </row>
    <row r="143" spans="1:73" x14ac:dyDescent="0.25">
      <c r="B143" s="8">
        <v>0</v>
      </c>
      <c r="C143" s="8" t="s">
        <v>67</v>
      </c>
      <c r="I143" s="53">
        <v>17</v>
      </c>
      <c r="J143" s="47" t="s">
        <v>88</v>
      </c>
      <c r="Z143" s="49">
        <v>3.6166666666666663</v>
      </c>
      <c r="AA143" s="8">
        <v>18</v>
      </c>
      <c r="AB143" s="8">
        <v>1.4000000000000004</v>
      </c>
      <c r="AC143" s="8">
        <v>2</v>
      </c>
      <c r="BL143" s="49">
        <f t="shared" si="16"/>
        <v>7.166666666666667</v>
      </c>
      <c r="BM143" s="49">
        <f t="shared" si="17"/>
        <v>11.333333333333334</v>
      </c>
      <c r="BN143" s="55" t="s">
        <v>223</v>
      </c>
      <c r="BO143" s="55" t="s">
        <v>224</v>
      </c>
      <c r="BP143" s="74">
        <v>65</v>
      </c>
      <c r="BR143" s="74">
        <v>11</v>
      </c>
      <c r="BS143" s="74">
        <v>4</v>
      </c>
      <c r="BT143" s="74">
        <v>7</v>
      </c>
      <c r="BU143" s="74">
        <v>2</v>
      </c>
    </row>
    <row r="144" spans="1:73" x14ac:dyDescent="0.25">
      <c r="B144" s="49">
        <v>2.083333333333333</v>
      </c>
      <c r="C144" s="8">
        <v>12</v>
      </c>
      <c r="D144" s="8">
        <v>1</v>
      </c>
      <c r="E144" s="8">
        <v>1</v>
      </c>
      <c r="Z144" s="49">
        <v>3.8833333333333337</v>
      </c>
      <c r="AA144" s="8">
        <v>21</v>
      </c>
      <c r="AB144" s="8">
        <v>1.5999999999999996</v>
      </c>
      <c r="AC144" s="8">
        <v>2</v>
      </c>
      <c r="BL144" s="49">
        <f t="shared" si="16"/>
        <v>7.25</v>
      </c>
      <c r="BM144" s="49">
        <f t="shared" si="17"/>
        <v>15.5</v>
      </c>
      <c r="BN144" s="55" t="s">
        <v>161</v>
      </c>
      <c r="BO144" s="55" t="s">
        <v>255</v>
      </c>
      <c r="BP144" s="74">
        <v>99.4</v>
      </c>
      <c r="BR144" s="74">
        <v>15</v>
      </c>
      <c r="BS144" s="74">
        <v>6</v>
      </c>
      <c r="BT144" s="74">
        <v>7</v>
      </c>
      <c r="BU144" s="74">
        <v>3</v>
      </c>
    </row>
    <row r="145" spans="2:73" x14ac:dyDescent="0.25">
      <c r="B145" s="49">
        <v>2.333333333333333</v>
      </c>
      <c r="C145" s="8">
        <v>15</v>
      </c>
      <c r="D145" s="8">
        <v>1</v>
      </c>
      <c r="E145" s="8">
        <v>1</v>
      </c>
      <c r="J145" s="8" t="s">
        <v>62</v>
      </c>
      <c r="K145" s="8"/>
      <c r="M145" s="8" t="s">
        <v>60</v>
      </c>
      <c r="N145" s="8" t="s">
        <v>61</v>
      </c>
      <c r="Z145" s="49">
        <v>4.1500000000000004</v>
      </c>
      <c r="AA145" s="8">
        <v>24</v>
      </c>
      <c r="AB145" s="8">
        <v>1.8000000000000007</v>
      </c>
      <c r="AC145" s="8">
        <v>2</v>
      </c>
      <c r="BL145" s="49">
        <f t="shared" si="16"/>
        <v>7.25</v>
      </c>
      <c r="BM145" s="49">
        <f t="shared" si="17"/>
        <v>20.5</v>
      </c>
      <c r="BN145" s="55" t="s">
        <v>180</v>
      </c>
      <c r="BO145" s="55" t="s">
        <v>255</v>
      </c>
      <c r="BP145" s="74">
        <v>125</v>
      </c>
      <c r="BR145" s="74">
        <v>20</v>
      </c>
      <c r="BS145" s="74">
        <v>6</v>
      </c>
      <c r="BT145" s="74">
        <v>7</v>
      </c>
      <c r="BU145" s="74">
        <v>3</v>
      </c>
    </row>
    <row r="146" spans="2:73" x14ac:dyDescent="0.25">
      <c r="B146" s="49">
        <v>2.583333333333333</v>
      </c>
      <c r="C146" s="8">
        <v>18</v>
      </c>
      <c r="D146" s="8">
        <v>1</v>
      </c>
      <c r="E146" s="8">
        <v>1</v>
      </c>
      <c r="J146" s="8" t="s">
        <v>66</v>
      </c>
      <c r="K146" s="8" t="s">
        <v>49</v>
      </c>
      <c r="L146" s="8" t="s">
        <v>54</v>
      </c>
      <c r="M146" s="8" t="s">
        <v>64</v>
      </c>
      <c r="N146" s="8" t="s">
        <v>65</v>
      </c>
      <c r="Z146" s="49">
        <v>4.4166666666666661</v>
      </c>
      <c r="AA146" s="8">
        <v>27</v>
      </c>
      <c r="AB146" s="8">
        <v>2</v>
      </c>
      <c r="AC146" s="8">
        <v>2</v>
      </c>
      <c r="BL146" s="49">
        <f t="shared" si="16"/>
        <v>7.25</v>
      </c>
      <c r="BM146" s="49">
        <f t="shared" si="17"/>
        <v>22.25</v>
      </c>
      <c r="BN146" s="55" t="s">
        <v>191</v>
      </c>
      <c r="BO146" s="55" t="s">
        <v>255</v>
      </c>
      <c r="BP146" s="74">
        <v>135.9</v>
      </c>
      <c r="BR146" s="74">
        <v>22</v>
      </c>
      <c r="BS146" s="74">
        <v>3</v>
      </c>
      <c r="BT146" s="74">
        <v>7</v>
      </c>
      <c r="BU146" s="74">
        <v>3</v>
      </c>
    </row>
    <row r="147" spans="2:73" x14ac:dyDescent="0.25">
      <c r="B147" s="49">
        <v>2.833333333333333</v>
      </c>
      <c r="C147" s="8">
        <v>21</v>
      </c>
      <c r="D147" s="8">
        <v>1</v>
      </c>
      <c r="E147" s="8">
        <v>1</v>
      </c>
      <c r="J147" s="11" t="s">
        <v>53</v>
      </c>
      <c r="K147" s="11" t="s">
        <v>48</v>
      </c>
      <c r="L147" s="11" t="s">
        <v>48</v>
      </c>
      <c r="M147" s="11" t="s">
        <v>48</v>
      </c>
      <c r="N147" s="11" t="s">
        <v>53</v>
      </c>
      <c r="Z147" s="49">
        <v>4.6791666666666671</v>
      </c>
      <c r="AA147" s="8">
        <v>30</v>
      </c>
      <c r="AB147" s="8">
        <v>2.1499999999999986</v>
      </c>
      <c r="AC147" s="8">
        <v>2</v>
      </c>
      <c r="BL147" s="49">
        <f t="shared" si="16"/>
        <v>7.333333333333333</v>
      </c>
      <c r="BM147" s="49">
        <f t="shared" si="17"/>
        <v>12.416666666666666</v>
      </c>
      <c r="BN147" s="55" t="s">
        <v>235</v>
      </c>
      <c r="BO147" s="55" t="s">
        <v>236</v>
      </c>
      <c r="BP147" s="74">
        <v>76</v>
      </c>
      <c r="BR147" s="74">
        <v>12</v>
      </c>
      <c r="BS147" s="74">
        <v>5</v>
      </c>
      <c r="BT147" s="74">
        <v>7</v>
      </c>
      <c r="BU147" s="74">
        <v>4</v>
      </c>
    </row>
    <row r="148" spans="2:73" x14ac:dyDescent="0.25">
      <c r="B148" s="49">
        <v>3.0833333333333335</v>
      </c>
      <c r="C148" s="8">
        <v>24</v>
      </c>
      <c r="D148" s="8">
        <v>1</v>
      </c>
      <c r="E148" s="8">
        <v>1</v>
      </c>
      <c r="Z148" s="49">
        <v>4.9625000000000004</v>
      </c>
      <c r="AA148" s="8">
        <v>33</v>
      </c>
      <c r="AB148" s="8">
        <v>2.5500000000000007</v>
      </c>
      <c r="AC148" s="8">
        <v>2</v>
      </c>
      <c r="BL148" s="49">
        <f t="shared" si="16"/>
        <v>7.333333333333333</v>
      </c>
      <c r="BM148" s="49">
        <f t="shared" si="17"/>
        <v>24.25</v>
      </c>
      <c r="BN148" s="55" t="s">
        <v>202</v>
      </c>
      <c r="BO148" s="55" t="s">
        <v>236</v>
      </c>
      <c r="BP148" s="74">
        <v>146.80000000000001</v>
      </c>
      <c r="BR148" s="74">
        <v>24</v>
      </c>
      <c r="BS148" s="74">
        <v>3</v>
      </c>
      <c r="BT148" s="74">
        <v>7</v>
      </c>
      <c r="BU148" s="74">
        <v>4</v>
      </c>
    </row>
    <row r="149" spans="2:73" x14ac:dyDescent="0.25">
      <c r="B149" s="49">
        <v>3.5833333333333335</v>
      </c>
      <c r="C149" s="8">
        <v>30</v>
      </c>
      <c r="D149" s="8">
        <v>1</v>
      </c>
      <c r="E149" s="8">
        <v>1</v>
      </c>
      <c r="J149" s="8">
        <v>0</v>
      </c>
      <c r="K149" s="8" t="s">
        <v>67</v>
      </c>
      <c r="L149" s="8" t="s">
        <v>67</v>
      </c>
      <c r="Z149" s="49">
        <v>5.2125000000000004</v>
      </c>
      <c r="AA149" s="8">
        <v>36</v>
      </c>
      <c r="AB149" s="8">
        <v>2.5500000000000007</v>
      </c>
      <c r="AC149" s="8">
        <v>2</v>
      </c>
      <c r="BL149" s="49">
        <f t="shared" si="16"/>
        <v>7.5</v>
      </c>
      <c r="BM149" s="49">
        <f t="shared" si="17"/>
        <v>16.666666666666668</v>
      </c>
      <c r="BN149" s="55" t="s">
        <v>168</v>
      </c>
      <c r="BO149" s="55" t="s">
        <v>261</v>
      </c>
      <c r="BP149" s="74">
        <v>111.5</v>
      </c>
      <c r="BR149" s="74">
        <v>16</v>
      </c>
      <c r="BS149" s="74">
        <v>8</v>
      </c>
      <c r="BT149" s="74">
        <v>7</v>
      </c>
      <c r="BU149" s="74">
        <v>6</v>
      </c>
    </row>
    <row r="150" spans="2:73" x14ac:dyDescent="0.25">
      <c r="B150" s="49">
        <v>4.0833333333333339</v>
      </c>
      <c r="C150" s="8">
        <v>36</v>
      </c>
      <c r="D150" s="8">
        <v>1</v>
      </c>
      <c r="E150" s="8">
        <v>1</v>
      </c>
      <c r="J150" s="49">
        <f t="shared" ref="J150:J161" si="19">(L150+M150)/12+N150</f>
        <v>5.0999999999999996</v>
      </c>
      <c r="K150" s="8">
        <v>60</v>
      </c>
      <c r="L150" s="8">
        <v>46</v>
      </c>
      <c r="M150" s="8">
        <v>2</v>
      </c>
      <c r="N150" s="8">
        <v>1.1000000000000001</v>
      </c>
      <c r="BL150" s="49">
        <f t="shared" si="16"/>
        <v>7.666666666666667</v>
      </c>
      <c r="BM150" s="49">
        <f t="shared" si="17"/>
        <v>19.833333333333332</v>
      </c>
      <c r="BN150" s="55" t="s">
        <v>175</v>
      </c>
      <c r="BO150" s="55" t="s">
        <v>266</v>
      </c>
      <c r="BP150" s="74">
        <v>127.1</v>
      </c>
      <c r="BR150" s="74">
        <v>19</v>
      </c>
      <c r="BS150" s="74">
        <v>10</v>
      </c>
      <c r="BT150" s="74">
        <v>7</v>
      </c>
      <c r="BU150" s="74">
        <v>8</v>
      </c>
    </row>
    <row r="151" spans="2:73" x14ac:dyDescent="0.25">
      <c r="B151" s="49">
        <v>4.5833333333333339</v>
      </c>
      <c r="C151" s="8">
        <v>42</v>
      </c>
      <c r="D151" s="8">
        <v>1</v>
      </c>
      <c r="E151" s="8">
        <v>1</v>
      </c>
      <c r="J151" s="49">
        <f t="shared" si="19"/>
        <v>5.5166666666666675</v>
      </c>
      <c r="K151" s="8">
        <v>66</v>
      </c>
      <c r="L151" s="8">
        <v>51</v>
      </c>
      <c r="M151" s="8">
        <v>2</v>
      </c>
      <c r="N151" s="8">
        <v>1.1000000000000001</v>
      </c>
      <c r="BL151" s="49">
        <f t="shared" ref="BL151:BL173" si="20">BT151+BU151/12</f>
        <v>7.666666666666667</v>
      </c>
      <c r="BM151" s="49">
        <f t="shared" ref="BM151:BM173" si="21">BR151+BS151/12</f>
        <v>21.5</v>
      </c>
      <c r="BN151" s="55" t="s">
        <v>187</v>
      </c>
      <c r="BO151" s="55" t="s">
        <v>266</v>
      </c>
      <c r="BP151" s="74">
        <v>139</v>
      </c>
      <c r="BR151" s="74">
        <v>21</v>
      </c>
      <c r="BS151" s="74">
        <v>6</v>
      </c>
      <c r="BT151" s="74">
        <v>7</v>
      </c>
      <c r="BU151" s="74">
        <v>8</v>
      </c>
    </row>
    <row r="152" spans="2:73" x14ac:dyDescent="0.25">
      <c r="B152" s="49">
        <v>5.083333333333333</v>
      </c>
      <c r="C152" s="8">
        <v>48</v>
      </c>
      <c r="D152" s="8">
        <v>1</v>
      </c>
      <c r="E152" s="8">
        <v>1</v>
      </c>
      <c r="J152" s="49">
        <f t="shared" si="19"/>
        <v>5.85</v>
      </c>
      <c r="K152" s="8">
        <v>73</v>
      </c>
      <c r="L152" s="8">
        <v>55</v>
      </c>
      <c r="M152" s="8">
        <v>2</v>
      </c>
      <c r="N152" s="8">
        <v>1.1000000000000001</v>
      </c>
      <c r="Y152" s="53" t="s">
        <v>101</v>
      </c>
      <c r="Z152" s="47" t="s">
        <v>102</v>
      </c>
      <c r="BL152" s="49">
        <f t="shared" si="20"/>
        <v>7.666666666666667</v>
      </c>
      <c r="BM152" s="49">
        <f t="shared" si="21"/>
        <v>23.333333333333332</v>
      </c>
      <c r="BN152" s="55" t="s">
        <v>196</v>
      </c>
      <c r="BO152" s="55" t="s">
        <v>266</v>
      </c>
      <c r="BP152" s="74">
        <v>150.6</v>
      </c>
      <c r="BR152" s="74">
        <v>23</v>
      </c>
      <c r="BS152" s="74">
        <v>4</v>
      </c>
      <c r="BT152" s="74">
        <v>7</v>
      </c>
      <c r="BU152" s="74">
        <v>8</v>
      </c>
    </row>
    <row r="153" spans="2:73" x14ac:dyDescent="0.25">
      <c r="B153" s="49">
        <v>5.583333333333333</v>
      </c>
      <c r="C153" s="8">
        <v>54</v>
      </c>
      <c r="D153" s="8">
        <v>1</v>
      </c>
      <c r="E153" s="8">
        <v>1</v>
      </c>
      <c r="J153" s="49">
        <f t="shared" si="19"/>
        <v>6.2833333333333332</v>
      </c>
      <c r="K153" s="8">
        <v>81</v>
      </c>
      <c r="L153" s="8">
        <v>59</v>
      </c>
      <c r="M153" s="8">
        <v>2</v>
      </c>
      <c r="N153" s="8">
        <v>1.2</v>
      </c>
      <c r="BL153" s="49">
        <f t="shared" si="20"/>
        <v>7.75</v>
      </c>
      <c r="BM153" s="49">
        <f t="shared" si="21"/>
        <v>25.25</v>
      </c>
      <c r="BN153" s="55" t="s">
        <v>208</v>
      </c>
      <c r="BO153" s="55" t="s">
        <v>284</v>
      </c>
      <c r="BP153" s="74">
        <v>162.4</v>
      </c>
      <c r="BR153" s="74">
        <v>25</v>
      </c>
      <c r="BS153" s="74">
        <v>3</v>
      </c>
      <c r="BT153" s="74">
        <v>7</v>
      </c>
      <c r="BU153" s="74">
        <v>9</v>
      </c>
    </row>
    <row r="154" spans="2:73" x14ac:dyDescent="0.25">
      <c r="B154" s="49">
        <v>6.083333333333333</v>
      </c>
      <c r="C154" s="8">
        <v>60</v>
      </c>
      <c r="D154" s="8">
        <v>1</v>
      </c>
      <c r="E154" s="8">
        <v>1</v>
      </c>
      <c r="J154" s="49">
        <f t="shared" si="19"/>
        <v>6.6166666666666671</v>
      </c>
      <c r="K154" s="8">
        <v>87</v>
      </c>
      <c r="L154" s="8">
        <v>63</v>
      </c>
      <c r="M154" s="8">
        <v>2</v>
      </c>
      <c r="N154" s="8">
        <v>1.2</v>
      </c>
      <c r="Z154" s="8"/>
      <c r="AA154" s="8" t="s">
        <v>96</v>
      </c>
      <c r="AB154" s="8"/>
      <c r="AC154" s="8"/>
      <c r="BL154" s="49">
        <f t="shared" si="20"/>
        <v>8</v>
      </c>
      <c r="BM154" s="49">
        <f t="shared" si="21"/>
        <v>15.75</v>
      </c>
      <c r="BN154" s="55" t="s">
        <v>162</v>
      </c>
      <c r="BO154" s="55" t="s">
        <v>256</v>
      </c>
      <c r="BP154" s="74">
        <v>111.8</v>
      </c>
      <c r="BR154" s="74">
        <v>15</v>
      </c>
      <c r="BS154" s="74">
        <v>9</v>
      </c>
      <c r="BT154" s="74">
        <v>8</v>
      </c>
      <c r="BU154" s="74">
        <v>0</v>
      </c>
    </row>
    <row r="155" spans="2:73" x14ac:dyDescent="0.25">
      <c r="B155" s="49">
        <v>6.583333333333333</v>
      </c>
      <c r="C155" s="8">
        <v>66</v>
      </c>
      <c r="D155" s="8">
        <v>1</v>
      </c>
      <c r="E155" s="8">
        <v>1</v>
      </c>
      <c r="J155" s="49">
        <f t="shared" si="19"/>
        <v>6.95</v>
      </c>
      <c r="K155" s="8">
        <v>95</v>
      </c>
      <c r="L155" s="8">
        <v>67</v>
      </c>
      <c r="M155" s="8">
        <v>2</v>
      </c>
      <c r="N155" s="8">
        <v>1.2</v>
      </c>
      <c r="Z155" s="8" t="s">
        <v>62</v>
      </c>
      <c r="AA155" s="8" t="s">
        <v>97</v>
      </c>
      <c r="AB155" s="8" t="s">
        <v>60</v>
      </c>
      <c r="AC155" s="8" t="s">
        <v>61</v>
      </c>
      <c r="BL155" s="49">
        <f t="shared" si="20"/>
        <v>8.0833333333333339</v>
      </c>
      <c r="BM155" s="49">
        <f t="shared" si="21"/>
        <v>20.833333333333332</v>
      </c>
      <c r="BN155" s="55" t="s">
        <v>181</v>
      </c>
      <c r="BO155" s="55" t="s">
        <v>271</v>
      </c>
      <c r="BP155" s="74">
        <v>141.19999999999999</v>
      </c>
      <c r="BR155" s="74">
        <v>20</v>
      </c>
      <c r="BS155" s="74">
        <v>10</v>
      </c>
      <c r="BT155" s="74">
        <v>8</v>
      </c>
      <c r="BU155" s="74">
        <v>1</v>
      </c>
    </row>
    <row r="156" spans="2:73" x14ac:dyDescent="0.25">
      <c r="B156" s="49">
        <v>7.083333333333333</v>
      </c>
      <c r="C156" s="8">
        <v>72</v>
      </c>
      <c r="D156" s="8">
        <v>1</v>
      </c>
      <c r="E156" s="8">
        <v>1</v>
      </c>
      <c r="J156" s="49">
        <f t="shared" si="19"/>
        <v>7.2833333333333332</v>
      </c>
      <c r="K156" s="8">
        <v>103</v>
      </c>
      <c r="L156" s="8">
        <v>71</v>
      </c>
      <c r="M156" s="8">
        <v>2</v>
      </c>
      <c r="N156" s="8">
        <v>1.2</v>
      </c>
      <c r="Z156" s="8" t="s">
        <v>66</v>
      </c>
      <c r="AA156" s="8" t="s">
        <v>63</v>
      </c>
      <c r="AB156" s="8" t="s">
        <v>64</v>
      </c>
      <c r="AC156" s="8" t="s">
        <v>65</v>
      </c>
      <c r="BL156" s="49">
        <f t="shared" si="20"/>
        <v>8.0833333333333339</v>
      </c>
      <c r="BM156" s="49">
        <f t="shared" si="21"/>
        <v>22.5</v>
      </c>
      <c r="BN156" s="55" t="s">
        <v>192</v>
      </c>
      <c r="BO156" s="55" t="s">
        <v>271</v>
      </c>
      <c r="BP156" s="74">
        <v>153.69999999999999</v>
      </c>
      <c r="BR156" s="74">
        <v>22</v>
      </c>
      <c r="BS156" s="74">
        <v>6</v>
      </c>
      <c r="BT156" s="74">
        <v>8</v>
      </c>
      <c r="BU156" s="74">
        <v>1</v>
      </c>
    </row>
    <row r="157" spans="2:73" x14ac:dyDescent="0.25">
      <c r="B157" s="49">
        <v>7.583333333333333</v>
      </c>
      <c r="C157" s="8">
        <v>78</v>
      </c>
      <c r="D157" s="8">
        <v>1</v>
      </c>
      <c r="E157" s="8">
        <v>1</v>
      </c>
      <c r="J157" s="49">
        <f t="shared" si="19"/>
        <v>7.7166666666666668</v>
      </c>
      <c r="K157" s="8">
        <v>112</v>
      </c>
      <c r="L157" s="8">
        <v>75</v>
      </c>
      <c r="M157" s="8">
        <v>2</v>
      </c>
      <c r="N157" s="8">
        <v>1.3</v>
      </c>
      <c r="Z157" s="11" t="s">
        <v>53</v>
      </c>
      <c r="AA157" s="11" t="s">
        <v>48</v>
      </c>
      <c r="AB157" s="11" t="s">
        <v>48</v>
      </c>
      <c r="AC157" s="11" t="s">
        <v>53</v>
      </c>
      <c r="BL157" s="49">
        <f t="shared" si="20"/>
        <v>8.1666666666666661</v>
      </c>
      <c r="BM157" s="49">
        <f t="shared" si="21"/>
        <v>24.333333333333332</v>
      </c>
      <c r="BN157" s="55" t="s">
        <v>203</v>
      </c>
      <c r="BO157" s="55" t="s">
        <v>280</v>
      </c>
      <c r="BP157" s="74">
        <v>166.2</v>
      </c>
      <c r="BR157" s="74">
        <v>24</v>
      </c>
      <c r="BS157" s="74">
        <v>4</v>
      </c>
      <c r="BT157" s="74">
        <v>8</v>
      </c>
      <c r="BU157" s="74">
        <v>2</v>
      </c>
    </row>
    <row r="158" spans="2:73" x14ac:dyDescent="0.25">
      <c r="B158" s="49">
        <v>8.0833333333333321</v>
      </c>
      <c r="C158" s="8">
        <v>84</v>
      </c>
      <c r="D158" s="8">
        <v>1</v>
      </c>
      <c r="E158" s="8">
        <v>1</v>
      </c>
      <c r="J158" s="49">
        <f t="shared" si="19"/>
        <v>7.95</v>
      </c>
      <c r="K158" s="8">
        <v>117</v>
      </c>
      <c r="L158" s="8">
        <v>79</v>
      </c>
      <c r="M158" s="8">
        <v>2</v>
      </c>
      <c r="N158" s="8">
        <v>1.2</v>
      </c>
      <c r="Z158" s="8"/>
      <c r="AA158" s="8"/>
      <c r="AB158" s="8"/>
      <c r="AC158" s="8"/>
      <c r="BL158" s="49">
        <f t="shared" si="20"/>
        <v>8.25</v>
      </c>
      <c r="BM158" s="49">
        <f t="shared" si="21"/>
        <v>16.833333333333332</v>
      </c>
      <c r="BN158" s="55" t="s">
        <v>169</v>
      </c>
      <c r="BO158" s="55" t="s">
        <v>262</v>
      </c>
      <c r="BP158" s="74">
        <v>124.8</v>
      </c>
      <c r="BR158" s="74">
        <v>16</v>
      </c>
      <c r="BS158" s="74">
        <v>10</v>
      </c>
      <c r="BT158" s="74">
        <v>8</v>
      </c>
      <c r="BU158" s="74">
        <v>3</v>
      </c>
    </row>
    <row r="159" spans="2:73" x14ac:dyDescent="0.25">
      <c r="J159" s="49">
        <f t="shared" si="19"/>
        <v>8.3833333333333329</v>
      </c>
      <c r="K159" s="8">
        <v>128</v>
      </c>
      <c r="L159" s="8">
        <v>83</v>
      </c>
      <c r="M159" s="8">
        <v>2</v>
      </c>
      <c r="N159" s="8">
        <v>1.3</v>
      </c>
      <c r="Z159" s="49">
        <v>3.6166666666666663</v>
      </c>
      <c r="AA159" s="8">
        <v>18</v>
      </c>
      <c r="AB159" s="8">
        <v>1.4000000000000004</v>
      </c>
      <c r="AC159" s="8">
        <v>2</v>
      </c>
      <c r="BL159" s="49">
        <f t="shared" si="20"/>
        <v>8.4166666666666661</v>
      </c>
      <c r="BM159" s="49">
        <f t="shared" si="21"/>
        <v>20.25</v>
      </c>
      <c r="BN159" s="55" t="s">
        <v>176</v>
      </c>
      <c r="BO159" s="55" t="s">
        <v>267</v>
      </c>
      <c r="BP159" s="74">
        <v>142.6</v>
      </c>
      <c r="BR159" s="74">
        <v>20</v>
      </c>
      <c r="BS159" s="74">
        <v>3</v>
      </c>
      <c r="BT159" s="74">
        <v>8</v>
      </c>
      <c r="BU159" s="74">
        <v>5</v>
      </c>
    </row>
    <row r="160" spans="2:73" x14ac:dyDescent="0.25">
      <c r="J160" s="49">
        <f t="shared" si="19"/>
        <v>8.7166666666666668</v>
      </c>
      <c r="K160" s="8">
        <v>137</v>
      </c>
      <c r="L160" s="8">
        <v>87</v>
      </c>
      <c r="M160" s="8">
        <v>2</v>
      </c>
      <c r="N160" s="8">
        <v>1.3</v>
      </c>
      <c r="Z160" s="49">
        <v>3.8833333333333337</v>
      </c>
      <c r="AA160" s="8">
        <v>21</v>
      </c>
      <c r="AB160" s="8">
        <v>1.5999999999999996</v>
      </c>
      <c r="AC160" s="8">
        <v>2</v>
      </c>
      <c r="BL160" s="49">
        <f t="shared" si="20"/>
        <v>8.4166666666666661</v>
      </c>
      <c r="BM160" s="49">
        <f t="shared" si="21"/>
        <v>21.833333333333332</v>
      </c>
      <c r="BN160" s="55" t="s">
        <v>188</v>
      </c>
      <c r="BO160" s="55" t="s">
        <v>267</v>
      </c>
      <c r="BP160" s="74">
        <v>156</v>
      </c>
      <c r="BR160" s="74">
        <v>21</v>
      </c>
      <c r="BS160" s="74">
        <v>10</v>
      </c>
      <c r="BT160" s="74">
        <v>8</v>
      </c>
      <c r="BU160" s="74">
        <v>5</v>
      </c>
    </row>
    <row r="161" spans="1:73" x14ac:dyDescent="0.25">
      <c r="A161" s="48">
        <v>5</v>
      </c>
      <c r="B161" s="47" t="s">
        <v>77</v>
      </c>
      <c r="J161" s="49">
        <f t="shared" si="19"/>
        <v>9.0500000000000007</v>
      </c>
      <c r="K161" s="8">
        <v>142</v>
      </c>
      <c r="L161" s="8">
        <v>91</v>
      </c>
      <c r="M161" s="8">
        <v>2</v>
      </c>
      <c r="N161" s="8">
        <v>1.3</v>
      </c>
      <c r="Z161" s="49">
        <v>4.1500000000000004</v>
      </c>
      <c r="AA161" s="8">
        <v>24</v>
      </c>
      <c r="AB161" s="8">
        <v>1.8000000000000007</v>
      </c>
      <c r="AC161" s="8">
        <v>2</v>
      </c>
      <c r="BL161" s="49">
        <f t="shared" si="20"/>
        <v>8.5</v>
      </c>
      <c r="BM161" s="49">
        <f t="shared" si="21"/>
        <v>23.5</v>
      </c>
      <c r="BN161" s="55" t="s">
        <v>197</v>
      </c>
      <c r="BO161" s="55" t="s">
        <v>278</v>
      </c>
      <c r="BP161" s="74">
        <v>169.3</v>
      </c>
      <c r="BR161" s="74">
        <v>23</v>
      </c>
      <c r="BS161" s="74">
        <v>6</v>
      </c>
      <c r="BT161" s="74">
        <v>8</v>
      </c>
      <c r="BU161" s="74">
        <v>6</v>
      </c>
    </row>
    <row r="162" spans="1:73" x14ac:dyDescent="0.25">
      <c r="Z162" s="49">
        <v>4.4166666666666661</v>
      </c>
      <c r="AA162" s="8">
        <v>27</v>
      </c>
      <c r="AB162" s="8">
        <v>2</v>
      </c>
      <c r="AC162" s="8">
        <v>2</v>
      </c>
      <c r="BL162" s="49">
        <f t="shared" si="20"/>
        <v>8.5833333333333339</v>
      </c>
      <c r="BM162" s="49">
        <f t="shared" si="21"/>
        <v>25.333333333333332</v>
      </c>
      <c r="BN162" s="55" t="s">
        <v>209</v>
      </c>
      <c r="BO162" s="55" t="s">
        <v>285</v>
      </c>
      <c r="BP162" s="74">
        <v>182.6</v>
      </c>
      <c r="BR162" s="74">
        <v>25</v>
      </c>
      <c r="BS162" s="74">
        <v>4</v>
      </c>
      <c r="BT162" s="74">
        <v>8</v>
      </c>
      <c r="BU162" s="74">
        <v>7</v>
      </c>
    </row>
    <row r="163" spans="1:73" x14ac:dyDescent="0.25">
      <c r="B163" s="8" t="s">
        <v>62</v>
      </c>
      <c r="D163" s="8" t="s">
        <v>60</v>
      </c>
      <c r="E163" s="8" t="s">
        <v>61</v>
      </c>
      <c r="Z163" s="49">
        <v>4.3874999999999993</v>
      </c>
      <c r="AA163" s="8">
        <v>23</v>
      </c>
      <c r="AB163" s="8">
        <v>5.6499999999999986</v>
      </c>
      <c r="AC163" s="8">
        <v>2</v>
      </c>
      <c r="BL163" s="49">
        <f t="shared" si="20"/>
        <v>8.8333333333333339</v>
      </c>
      <c r="BM163" s="49">
        <f t="shared" si="21"/>
        <v>21.166666666666668</v>
      </c>
      <c r="BN163" s="55" t="s">
        <v>182</v>
      </c>
      <c r="BO163" s="55" t="s">
        <v>272</v>
      </c>
      <c r="BP163" s="74">
        <v>157.6</v>
      </c>
      <c r="BR163" s="74">
        <v>21</v>
      </c>
      <c r="BS163" s="74">
        <v>2</v>
      </c>
      <c r="BT163" s="74">
        <v>8</v>
      </c>
      <c r="BU163" s="74">
        <v>10</v>
      </c>
    </row>
    <row r="164" spans="1:73" x14ac:dyDescent="0.25">
      <c r="B164" s="8" t="s">
        <v>66</v>
      </c>
      <c r="C164" s="8" t="s">
        <v>63</v>
      </c>
      <c r="D164" s="8" t="s">
        <v>64</v>
      </c>
      <c r="E164" s="8" t="s">
        <v>65</v>
      </c>
      <c r="Z164" s="49">
        <v>4.9625000000000004</v>
      </c>
      <c r="AA164" s="8">
        <v>33</v>
      </c>
      <c r="AB164" s="8">
        <v>2.5500000000000007</v>
      </c>
      <c r="AC164" s="8">
        <v>2</v>
      </c>
      <c r="BL164" s="49">
        <f t="shared" si="20"/>
        <v>8.8333333333333339</v>
      </c>
      <c r="BM164" s="49">
        <f t="shared" si="21"/>
        <v>22.75</v>
      </c>
      <c r="BN164" s="55" t="s">
        <v>193</v>
      </c>
      <c r="BO164" s="55" t="s">
        <v>272</v>
      </c>
      <c r="BP164" s="74">
        <v>171.6</v>
      </c>
      <c r="BR164" s="74">
        <v>22</v>
      </c>
      <c r="BS164" s="74">
        <v>9</v>
      </c>
      <c r="BT164" s="74">
        <v>8</v>
      </c>
      <c r="BU164" s="74">
        <v>10</v>
      </c>
    </row>
    <row r="165" spans="1:73" x14ac:dyDescent="0.25">
      <c r="B165" s="11" t="s">
        <v>53</v>
      </c>
      <c r="C165" s="11" t="s">
        <v>48</v>
      </c>
      <c r="D165" s="11" t="s">
        <v>48</v>
      </c>
      <c r="E165" s="11" t="s">
        <v>53</v>
      </c>
      <c r="Z165" s="49">
        <v>5.2125000000000004</v>
      </c>
      <c r="AA165" s="8">
        <v>36</v>
      </c>
      <c r="AB165" s="8">
        <v>2.5500000000000007</v>
      </c>
      <c r="AC165" s="8">
        <v>2</v>
      </c>
      <c r="BL165" s="49">
        <f t="shared" si="20"/>
        <v>8.9166666666666661</v>
      </c>
      <c r="BM165" s="49">
        <f t="shared" si="21"/>
        <v>24.416666666666668</v>
      </c>
      <c r="BN165" s="55" t="s">
        <v>204</v>
      </c>
      <c r="BO165" s="55" t="s">
        <v>281</v>
      </c>
      <c r="BP165" s="74">
        <v>185.7</v>
      </c>
      <c r="BR165" s="74">
        <v>24</v>
      </c>
      <c r="BS165" s="74">
        <v>5</v>
      </c>
      <c r="BT165" s="74">
        <v>8</v>
      </c>
      <c r="BU165" s="74">
        <v>11</v>
      </c>
    </row>
    <row r="166" spans="1:73" x14ac:dyDescent="0.25">
      <c r="B166" s="8"/>
      <c r="C166" s="8"/>
      <c r="D166" s="8"/>
      <c r="E166" s="8"/>
      <c r="Z166" s="49">
        <v>5.75</v>
      </c>
      <c r="AA166" s="8">
        <v>42</v>
      </c>
      <c r="AB166" s="8">
        <v>3</v>
      </c>
      <c r="AC166" s="8">
        <v>2</v>
      </c>
      <c r="BL166" s="49">
        <f t="shared" si="20"/>
        <v>9.25</v>
      </c>
      <c r="BM166" s="49">
        <f t="shared" si="21"/>
        <v>22.083333333333332</v>
      </c>
      <c r="BN166" s="55" t="s">
        <v>189</v>
      </c>
      <c r="BO166" s="55" t="s">
        <v>276</v>
      </c>
      <c r="BP166" s="74">
        <v>173.3</v>
      </c>
      <c r="BR166" s="74">
        <v>22</v>
      </c>
      <c r="BS166" s="74">
        <v>1</v>
      </c>
      <c r="BT166" s="74">
        <v>9</v>
      </c>
      <c r="BU166" s="74">
        <v>3</v>
      </c>
    </row>
    <row r="167" spans="1:73" x14ac:dyDescent="0.25">
      <c r="B167" s="8">
        <v>0</v>
      </c>
      <c r="C167" s="8" t="s">
        <v>67</v>
      </c>
      <c r="Z167" s="49">
        <v>6.2583333333333337</v>
      </c>
      <c r="AA167" s="8">
        <v>48</v>
      </c>
      <c r="AB167" s="8">
        <v>3.1000000000000014</v>
      </c>
      <c r="AC167" s="8">
        <v>2</v>
      </c>
      <c r="BL167" s="49">
        <f t="shared" si="20"/>
        <v>9.25</v>
      </c>
      <c r="BM167" s="49">
        <f t="shared" si="21"/>
        <v>23.666666666666668</v>
      </c>
      <c r="BN167" s="55" t="s">
        <v>198</v>
      </c>
      <c r="BO167" s="55" t="s">
        <v>276</v>
      </c>
      <c r="BP167" s="74">
        <v>188.1</v>
      </c>
      <c r="BR167" s="74">
        <v>23</v>
      </c>
      <c r="BS167" s="74">
        <v>8</v>
      </c>
      <c r="BT167" s="74">
        <v>9</v>
      </c>
      <c r="BU167" s="74">
        <v>3</v>
      </c>
    </row>
    <row r="168" spans="1:73" x14ac:dyDescent="0.25">
      <c r="B168" s="49">
        <v>3.6666666666666665</v>
      </c>
      <c r="C168" s="8">
        <v>30</v>
      </c>
      <c r="D168" s="8">
        <v>2</v>
      </c>
      <c r="E168" s="8">
        <v>1</v>
      </c>
      <c r="BL168" s="49">
        <f t="shared" si="20"/>
        <v>9.4166666666666661</v>
      </c>
      <c r="BM168" s="49">
        <f t="shared" si="21"/>
        <v>25.333333333333332</v>
      </c>
      <c r="BN168" s="55" t="s">
        <v>209</v>
      </c>
      <c r="BO168" s="55" t="s">
        <v>286</v>
      </c>
      <c r="BP168" s="74">
        <v>202.9</v>
      </c>
      <c r="BR168" s="74">
        <v>25</v>
      </c>
      <c r="BS168" s="74">
        <v>4</v>
      </c>
      <c r="BT168" s="74">
        <v>9</v>
      </c>
      <c r="BU168" s="74">
        <v>5</v>
      </c>
    </row>
    <row r="169" spans="1:73" x14ac:dyDescent="0.25">
      <c r="B169" s="49">
        <v>3.9166666666666665</v>
      </c>
      <c r="C169" s="8">
        <v>33</v>
      </c>
      <c r="D169" s="8">
        <v>2</v>
      </c>
      <c r="E169" s="8">
        <v>1</v>
      </c>
      <c r="BL169" s="49">
        <f t="shared" si="20"/>
        <v>9.6666666666666661</v>
      </c>
      <c r="BM169" s="49">
        <f t="shared" si="21"/>
        <v>23</v>
      </c>
      <c r="BN169" s="55" t="s">
        <v>194</v>
      </c>
      <c r="BO169" s="55" t="s">
        <v>277</v>
      </c>
      <c r="BP169" s="74">
        <v>189.8</v>
      </c>
      <c r="BR169" s="74">
        <v>23</v>
      </c>
      <c r="BS169" s="74">
        <v>0</v>
      </c>
      <c r="BT169" s="74">
        <v>9</v>
      </c>
      <c r="BU169" s="74">
        <v>8</v>
      </c>
    </row>
    <row r="170" spans="1:73" x14ac:dyDescent="0.25">
      <c r="B170" s="49">
        <v>4.1666666666666661</v>
      </c>
      <c r="C170" s="8">
        <v>36</v>
      </c>
      <c r="D170" s="8">
        <v>2</v>
      </c>
      <c r="E170" s="8">
        <v>1</v>
      </c>
      <c r="Y170" s="53" t="s">
        <v>71</v>
      </c>
      <c r="Z170" s="47" t="s">
        <v>103</v>
      </c>
      <c r="BL170" s="49">
        <f t="shared" si="20"/>
        <v>9.75</v>
      </c>
      <c r="BM170" s="49">
        <f t="shared" si="21"/>
        <v>24.583333333333332</v>
      </c>
      <c r="BN170" s="55" t="s">
        <v>205</v>
      </c>
      <c r="BO170" s="55" t="s">
        <v>282</v>
      </c>
      <c r="BP170" s="74">
        <v>205.3</v>
      </c>
      <c r="BR170" s="74">
        <v>24</v>
      </c>
      <c r="BS170" s="74">
        <v>7</v>
      </c>
      <c r="BT170" s="74">
        <v>9</v>
      </c>
      <c r="BU170" s="74">
        <v>9</v>
      </c>
    </row>
    <row r="171" spans="1:73" x14ac:dyDescent="0.25">
      <c r="B171" s="49">
        <v>4.6666666666666661</v>
      </c>
      <c r="C171" s="8">
        <v>42</v>
      </c>
      <c r="D171" s="8">
        <v>2</v>
      </c>
      <c r="E171" s="8">
        <v>1</v>
      </c>
      <c r="J171" s="8" t="s">
        <v>62</v>
      </c>
      <c r="K171" s="8"/>
      <c r="M171" s="8" t="s">
        <v>60</v>
      </c>
      <c r="N171" s="8" t="s">
        <v>61</v>
      </c>
      <c r="BL171" s="49">
        <f t="shared" si="20"/>
        <v>10.083333333333334</v>
      </c>
      <c r="BM171" s="49">
        <f t="shared" si="21"/>
        <v>23.833333333333332</v>
      </c>
      <c r="BN171" s="55" t="s">
        <v>199</v>
      </c>
      <c r="BO171" s="55" t="s">
        <v>279</v>
      </c>
      <c r="BP171" s="74">
        <v>207</v>
      </c>
      <c r="BR171" s="74">
        <v>23</v>
      </c>
      <c r="BS171" s="74">
        <v>10</v>
      </c>
      <c r="BT171" s="74">
        <v>10</v>
      </c>
      <c r="BU171" s="74">
        <v>1</v>
      </c>
    </row>
    <row r="172" spans="1:73" x14ac:dyDescent="0.25">
      <c r="B172" s="49">
        <v>5.166666666666667</v>
      </c>
      <c r="C172" s="8">
        <v>48</v>
      </c>
      <c r="D172" s="8">
        <v>2</v>
      </c>
      <c r="E172" s="8">
        <v>1</v>
      </c>
      <c r="J172" s="8" t="s">
        <v>66</v>
      </c>
      <c r="K172" s="8" t="s">
        <v>54</v>
      </c>
      <c r="L172" s="8" t="s">
        <v>49</v>
      </c>
      <c r="M172" s="8" t="s">
        <v>64</v>
      </c>
      <c r="N172" s="8" t="s">
        <v>65</v>
      </c>
      <c r="Z172" s="8"/>
      <c r="AA172" s="8" t="s">
        <v>96</v>
      </c>
      <c r="AB172" s="8"/>
      <c r="AC172" s="8"/>
      <c r="BL172" s="49">
        <f t="shared" si="20"/>
        <v>10.166666666666666</v>
      </c>
      <c r="BM172" s="49">
        <f t="shared" si="21"/>
        <v>25.416666666666668</v>
      </c>
      <c r="BN172" s="55" t="s">
        <v>210</v>
      </c>
      <c r="BO172" s="55" t="s">
        <v>225</v>
      </c>
      <c r="BP172" s="74">
        <v>223.3</v>
      </c>
      <c r="BR172" s="74">
        <v>25</v>
      </c>
      <c r="BS172" s="74">
        <v>5</v>
      </c>
      <c r="BT172" s="74">
        <v>10</v>
      </c>
      <c r="BU172" s="74">
        <v>2</v>
      </c>
    </row>
    <row r="173" spans="1:73" x14ac:dyDescent="0.25">
      <c r="B173" s="49">
        <v>5.666666666666667</v>
      </c>
      <c r="C173" s="8">
        <v>54</v>
      </c>
      <c r="D173" s="8">
        <v>2</v>
      </c>
      <c r="E173" s="8">
        <v>1</v>
      </c>
      <c r="J173" s="11" t="s">
        <v>53</v>
      </c>
      <c r="K173" s="11" t="s">
        <v>48</v>
      </c>
      <c r="L173" s="11" t="s">
        <v>48</v>
      </c>
      <c r="M173" s="11" t="s">
        <v>48</v>
      </c>
      <c r="N173" s="11" t="s">
        <v>53</v>
      </c>
      <c r="Z173" s="8" t="s">
        <v>62</v>
      </c>
      <c r="AA173" s="8" t="s">
        <v>97</v>
      </c>
      <c r="AB173" s="8" t="s">
        <v>60</v>
      </c>
      <c r="AC173" s="8" t="s">
        <v>61</v>
      </c>
      <c r="BL173" s="49">
        <f t="shared" si="20"/>
        <v>10.5</v>
      </c>
      <c r="BM173" s="49">
        <f t="shared" si="21"/>
        <v>24.666666666666668</v>
      </c>
      <c r="BN173" s="55" t="s">
        <v>206</v>
      </c>
      <c r="BO173" s="55" t="s">
        <v>219</v>
      </c>
      <c r="BP173" s="74">
        <v>225</v>
      </c>
      <c r="BR173" s="74">
        <v>24</v>
      </c>
      <c r="BS173" s="74">
        <v>8</v>
      </c>
      <c r="BT173" s="74">
        <v>10</v>
      </c>
      <c r="BU173" s="74">
        <v>6</v>
      </c>
    </row>
    <row r="174" spans="1:73" x14ac:dyDescent="0.25">
      <c r="B174" s="49">
        <v>6.166666666666667</v>
      </c>
      <c r="C174" s="8">
        <v>60</v>
      </c>
      <c r="D174" s="8">
        <v>2</v>
      </c>
      <c r="E174" s="8">
        <v>1</v>
      </c>
      <c r="Z174" s="8" t="s">
        <v>66</v>
      </c>
      <c r="AA174" s="8" t="s">
        <v>63</v>
      </c>
      <c r="AB174" s="8" t="s">
        <v>64</v>
      </c>
      <c r="AC174" s="8" t="s">
        <v>65</v>
      </c>
    </row>
    <row r="175" spans="1:73" x14ac:dyDescent="0.25">
      <c r="B175" s="49">
        <v>6.666666666666667</v>
      </c>
      <c r="C175" s="8">
        <v>66</v>
      </c>
      <c r="D175" s="8">
        <v>2</v>
      </c>
      <c r="E175" s="8">
        <v>1</v>
      </c>
      <c r="J175" s="8">
        <v>0</v>
      </c>
      <c r="K175" s="8" t="s">
        <v>67</v>
      </c>
      <c r="L175" s="8" t="s">
        <v>67</v>
      </c>
      <c r="Z175" s="11" t="s">
        <v>53</v>
      </c>
      <c r="AA175" s="11" t="s">
        <v>48</v>
      </c>
      <c r="AB175" s="11" t="s">
        <v>48</v>
      </c>
      <c r="AC175" s="11" t="s">
        <v>53</v>
      </c>
    </row>
    <row r="176" spans="1:73" x14ac:dyDescent="0.25">
      <c r="B176" s="49">
        <v>7.166666666666667</v>
      </c>
      <c r="C176" s="8">
        <v>72</v>
      </c>
      <c r="D176" s="8">
        <v>2</v>
      </c>
      <c r="E176" s="8">
        <v>1</v>
      </c>
      <c r="J176" s="49">
        <f t="shared" ref="J176:J187" si="22">(K176+M176)/12+N176</f>
        <v>5.0999999999999996</v>
      </c>
      <c r="K176" s="8">
        <v>46</v>
      </c>
      <c r="L176" s="8">
        <v>60</v>
      </c>
      <c r="M176" s="8">
        <v>2</v>
      </c>
      <c r="N176" s="8">
        <v>1.1000000000000001</v>
      </c>
      <c r="Z176" s="8"/>
      <c r="AA176" s="8"/>
      <c r="AB176" s="8"/>
      <c r="AC176" s="8"/>
    </row>
    <row r="177" spans="1:29" x14ac:dyDescent="0.25">
      <c r="B177" s="49">
        <v>7.666666666666667</v>
      </c>
      <c r="C177" s="8">
        <v>78</v>
      </c>
      <c r="D177" s="8">
        <v>2</v>
      </c>
      <c r="E177" s="8">
        <v>1</v>
      </c>
      <c r="J177" s="49">
        <f t="shared" si="22"/>
        <v>5.5166666666666675</v>
      </c>
      <c r="K177" s="8">
        <v>51</v>
      </c>
      <c r="L177" s="8">
        <v>66</v>
      </c>
      <c r="M177" s="8">
        <v>2</v>
      </c>
      <c r="N177" s="8">
        <v>1.1000000000000001</v>
      </c>
      <c r="Z177" s="49">
        <v>3.0333333333333332</v>
      </c>
      <c r="AA177" s="8">
        <v>12</v>
      </c>
      <c r="AB177" s="8">
        <v>0.40000000000000036</v>
      </c>
      <c r="AC177" s="8">
        <v>2</v>
      </c>
    </row>
    <row r="178" spans="1:29" x14ac:dyDescent="0.25">
      <c r="B178" s="49">
        <v>8.1666666666666679</v>
      </c>
      <c r="C178" s="8">
        <v>84</v>
      </c>
      <c r="D178" s="8">
        <v>2</v>
      </c>
      <c r="E178" s="8">
        <v>1</v>
      </c>
      <c r="J178" s="49">
        <f t="shared" si="22"/>
        <v>5.85</v>
      </c>
      <c r="K178" s="8">
        <v>55</v>
      </c>
      <c r="L178" s="8">
        <v>73</v>
      </c>
      <c r="M178" s="8">
        <v>2</v>
      </c>
      <c r="N178" s="8">
        <v>1.1000000000000001</v>
      </c>
      <c r="Z178" s="49">
        <v>3.2774999999999999</v>
      </c>
      <c r="AA178" s="8">
        <v>15</v>
      </c>
      <c r="AB178" s="8">
        <v>0.33000000000000007</v>
      </c>
      <c r="AC178" s="8">
        <v>2</v>
      </c>
    </row>
    <row r="179" spans="1:29" x14ac:dyDescent="0.25">
      <c r="B179" s="49">
        <v>8.6666666666666679</v>
      </c>
      <c r="C179" s="8">
        <v>90</v>
      </c>
      <c r="D179" s="8">
        <v>2</v>
      </c>
      <c r="E179" s="8">
        <v>1</v>
      </c>
      <c r="J179" s="49">
        <f t="shared" si="22"/>
        <v>6.2833333333333332</v>
      </c>
      <c r="K179" s="8">
        <v>59</v>
      </c>
      <c r="L179" s="8">
        <v>81</v>
      </c>
      <c r="M179" s="8">
        <v>2</v>
      </c>
      <c r="N179" s="8">
        <v>1.2</v>
      </c>
      <c r="Z179" s="49">
        <v>3.5479166666666666</v>
      </c>
      <c r="AA179" s="8">
        <v>18</v>
      </c>
      <c r="AB179" s="8">
        <v>0.57499999999999929</v>
      </c>
      <c r="AC179" s="8">
        <v>2</v>
      </c>
    </row>
    <row r="180" spans="1:29" x14ac:dyDescent="0.25">
      <c r="B180" s="49">
        <v>9.1666666666666661</v>
      </c>
      <c r="C180" s="8">
        <v>96</v>
      </c>
      <c r="D180" s="8">
        <v>2</v>
      </c>
      <c r="E180" s="8">
        <v>1</v>
      </c>
      <c r="J180" s="49">
        <f t="shared" si="22"/>
        <v>6.6166666666666671</v>
      </c>
      <c r="K180" s="8">
        <v>63</v>
      </c>
      <c r="L180" s="8">
        <v>87</v>
      </c>
      <c r="M180" s="8">
        <v>2</v>
      </c>
      <c r="N180" s="8">
        <v>1.2</v>
      </c>
      <c r="Z180" s="49">
        <v>3.8162500000000001</v>
      </c>
      <c r="AA180" s="8">
        <v>21</v>
      </c>
      <c r="AB180" s="8">
        <v>0.79499999999999993</v>
      </c>
      <c r="AC180" s="8">
        <v>2</v>
      </c>
    </row>
    <row r="181" spans="1:29" x14ac:dyDescent="0.25">
      <c r="B181" s="49">
        <v>9.7666666666666657</v>
      </c>
      <c r="C181" s="8">
        <v>102</v>
      </c>
      <c r="D181" s="8">
        <v>2</v>
      </c>
      <c r="E181" s="8">
        <v>1.1000000000000001</v>
      </c>
      <c r="J181" s="49">
        <f t="shared" si="22"/>
        <v>6.95</v>
      </c>
      <c r="K181" s="8">
        <v>67</v>
      </c>
      <c r="L181" s="8">
        <v>95</v>
      </c>
      <c r="M181" s="8">
        <v>2</v>
      </c>
      <c r="N181" s="8">
        <v>1.2</v>
      </c>
      <c r="Z181" s="49">
        <v>4.0658333333333339</v>
      </c>
      <c r="AA181" s="8">
        <v>24</v>
      </c>
      <c r="AB181" s="8">
        <v>0.78999999999999915</v>
      </c>
      <c r="AC181" s="8">
        <v>2</v>
      </c>
    </row>
    <row r="182" spans="1:29" x14ac:dyDescent="0.25">
      <c r="B182" s="49">
        <v>10.266666666666666</v>
      </c>
      <c r="C182" s="8">
        <v>108</v>
      </c>
      <c r="D182" s="8">
        <v>2</v>
      </c>
      <c r="E182" s="8">
        <v>1.1000000000000001</v>
      </c>
      <c r="J182" s="49">
        <f t="shared" si="22"/>
        <v>7.2833333333333332</v>
      </c>
      <c r="K182" s="8">
        <v>71</v>
      </c>
      <c r="L182" s="8">
        <v>103</v>
      </c>
      <c r="M182" s="8">
        <v>2</v>
      </c>
      <c r="N182" s="8">
        <v>1.2</v>
      </c>
      <c r="Z182" s="49">
        <v>4.5895833333333336</v>
      </c>
      <c r="AA182" s="8">
        <v>30</v>
      </c>
      <c r="AB182" s="8">
        <v>1.0749999999999993</v>
      </c>
      <c r="AC182" s="8">
        <v>2</v>
      </c>
    </row>
    <row r="183" spans="1:29" x14ac:dyDescent="0.25">
      <c r="B183" s="49">
        <v>10.866666666666665</v>
      </c>
      <c r="C183" s="8">
        <v>114</v>
      </c>
      <c r="D183" s="8">
        <v>2</v>
      </c>
      <c r="E183" s="8">
        <v>1.2</v>
      </c>
      <c r="J183" s="49">
        <f t="shared" si="22"/>
        <v>7.7166666666666668</v>
      </c>
      <c r="K183" s="8">
        <v>75</v>
      </c>
      <c r="L183" s="8">
        <v>112</v>
      </c>
      <c r="M183" s="8">
        <v>2</v>
      </c>
      <c r="N183" s="8">
        <v>1.3</v>
      </c>
      <c r="Z183" s="49">
        <v>5.1141666666666676</v>
      </c>
      <c r="AA183" s="8">
        <v>36</v>
      </c>
      <c r="AB183" s="8">
        <v>1.370000000000001</v>
      </c>
      <c r="AC183" s="8">
        <v>2</v>
      </c>
    </row>
    <row r="184" spans="1:29" x14ac:dyDescent="0.25">
      <c r="B184" s="49">
        <v>11.466666666666667</v>
      </c>
      <c r="C184" s="8">
        <v>120</v>
      </c>
      <c r="D184" s="8">
        <v>2</v>
      </c>
      <c r="E184" s="8">
        <v>1.3</v>
      </c>
      <c r="J184" s="49">
        <f t="shared" si="22"/>
        <v>7.95</v>
      </c>
      <c r="K184" s="8">
        <v>79</v>
      </c>
      <c r="L184" s="8">
        <v>117</v>
      </c>
      <c r="M184" s="8">
        <v>2</v>
      </c>
      <c r="N184" s="8">
        <v>1.2</v>
      </c>
    </row>
    <row r="185" spans="1:29" x14ac:dyDescent="0.25">
      <c r="J185" s="49">
        <f t="shared" si="22"/>
        <v>8.3833333333333329</v>
      </c>
      <c r="K185" s="8">
        <v>83</v>
      </c>
      <c r="L185" s="8">
        <v>128</v>
      </c>
      <c r="M185" s="8">
        <v>2</v>
      </c>
      <c r="N185" s="8">
        <v>1.3</v>
      </c>
    </row>
    <row r="186" spans="1:29" x14ac:dyDescent="0.25">
      <c r="J186" s="49">
        <f t="shared" si="22"/>
        <v>8.7166666666666668</v>
      </c>
      <c r="K186" s="8">
        <v>87</v>
      </c>
      <c r="L186" s="8">
        <v>137</v>
      </c>
      <c r="M186" s="8">
        <v>2</v>
      </c>
      <c r="N186" s="8">
        <v>1.3</v>
      </c>
      <c r="Y186" s="53" t="s">
        <v>72</v>
      </c>
      <c r="Z186" s="47" t="s">
        <v>104</v>
      </c>
    </row>
    <row r="187" spans="1:29" x14ac:dyDescent="0.25">
      <c r="A187" s="48">
        <v>13</v>
      </c>
      <c r="B187" s="47" t="s">
        <v>78</v>
      </c>
      <c r="J187" s="49">
        <f t="shared" si="22"/>
        <v>9.0500000000000007</v>
      </c>
      <c r="K187" s="8">
        <v>91</v>
      </c>
      <c r="L187" s="8">
        <v>142</v>
      </c>
      <c r="M187" s="8">
        <v>2</v>
      </c>
      <c r="N187" s="8">
        <v>1.3</v>
      </c>
    </row>
    <row r="188" spans="1:29" x14ac:dyDescent="0.25">
      <c r="K188" s="8"/>
      <c r="L188" s="8"/>
      <c r="M188" s="8"/>
      <c r="N188" s="8"/>
      <c r="O188" s="49"/>
      <c r="Z188" s="8"/>
      <c r="AA188" s="8" t="s">
        <v>96</v>
      </c>
      <c r="AB188" s="8"/>
      <c r="AC188" s="8"/>
    </row>
    <row r="189" spans="1:29" x14ac:dyDescent="0.25">
      <c r="B189" s="8" t="s">
        <v>62</v>
      </c>
      <c r="D189" s="8" t="s">
        <v>60</v>
      </c>
      <c r="E189" s="8" t="s">
        <v>61</v>
      </c>
      <c r="K189" s="8"/>
      <c r="L189" s="8"/>
      <c r="M189" s="8"/>
      <c r="N189" s="8"/>
      <c r="O189" s="49"/>
      <c r="Z189" s="8" t="s">
        <v>62</v>
      </c>
      <c r="AA189" s="8" t="s">
        <v>97</v>
      </c>
      <c r="AB189" s="8" t="s">
        <v>60</v>
      </c>
      <c r="AC189" s="8" t="s">
        <v>61</v>
      </c>
    </row>
    <row r="190" spans="1:29" x14ac:dyDescent="0.25">
      <c r="B190" s="8" t="s">
        <v>66</v>
      </c>
      <c r="C190" s="8" t="s">
        <v>63</v>
      </c>
      <c r="D190" s="8" t="s">
        <v>64</v>
      </c>
      <c r="E190" s="8" t="s">
        <v>65</v>
      </c>
      <c r="K190" s="8"/>
      <c r="L190" s="8"/>
      <c r="M190" s="8"/>
      <c r="N190" s="8"/>
      <c r="O190" s="49"/>
      <c r="Z190" s="8" t="s">
        <v>66</v>
      </c>
      <c r="AA190" s="8" t="s">
        <v>63</v>
      </c>
      <c r="AB190" s="8" t="s">
        <v>64</v>
      </c>
      <c r="AC190" s="8" t="s">
        <v>65</v>
      </c>
    </row>
    <row r="191" spans="1:29" x14ac:dyDescent="0.25">
      <c r="B191" s="11" t="s">
        <v>53</v>
      </c>
      <c r="C191" s="11" t="s">
        <v>48</v>
      </c>
      <c r="D191" s="11" t="s">
        <v>48</v>
      </c>
      <c r="E191" s="11" t="s">
        <v>53</v>
      </c>
      <c r="K191" s="8"/>
      <c r="L191" s="8"/>
      <c r="M191" s="8"/>
      <c r="N191" s="8"/>
      <c r="O191" s="49"/>
      <c r="Z191" s="11" t="s">
        <v>53</v>
      </c>
      <c r="AA191" s="11" t="s">
        <v>48</v>
      </c>
      <c r="AB191" s="11" t="s">
        <v>48</v>
      </c>
      <c r="AC191" s="11" t="s">
        <v>53</v>
      </c>
    </row>
    <row r="192" spans="1:29" x14ac:dyDescent="0.25">
      <c r="B192" s="8"/>
      <c r="C192" s="8"/>
      <c r="D192" s="8"/>
      <c r="E192" s="8"/>
      <c r="K192" s="8"/>
      <c r="L192" s="8"/>
      <c r="M192" s="8"/>
      <c r="N192" s="8"/>
      <c r="O192" s="49"/>
      <c r="Z192" s="8"/>
      <c r="AA192" s="8"/>
      <c r="AB192" s="8"/>
      <c r="AC192" s="8"/>
    </row>
    <row r="193" spans="2:29" x14ac:dyDescent="0.25">
      <c r="B193" s="8">
        <v>0</v>
      </c>
      <c r="C193" s="8" t="s">
        <v>67</v>
      </c>
      <c r="K193" s="8"/>
      <c r="L193" s="8"/>
      <c r="M193" s="8"/>
      <c r="N193" s="8"/>
      <c r="O193" s="49"/>
      <c r="Z193" s="49">
        <v>3.0333333333333332</v>
      </c>
      <c r="AA193" s="8">
        <v>12</v>
      </c>
      <c r="AB193" s="8">
        <v>0.40000000000000036</v>
      </c>
      <c r="AC193" s="8">
        <v>2</v>
      </c>
    </row>
    <row r="194" spans="2:29" x14ac:dyDescent="0.25">
      <c r="B194" s="49">
        <v>4.1666666666666661</v>
      </c>
      <c r="C194" s="8">
        <v>36</v>
      </c>
      <c r="D194" s="8">
        <v>2</v>
      </c>
      <c r="E194" s="8">
        <v>1</v>
      </c>
      <c r="K194" s="8"/>
      <c r="L194" s="8"/>
      <c r="M194" s="8"/>
      <c r="N194" s="8"/>
      <c r="O194" s="49"/>
      <c r="Z194" s="49">
        <v>3.2774999999999999</v>
      </c>
      <c r="AA194" s="8">
        <v>15</v>
      </c>
      <c r="AB194" s="8">
        <v>0.33000000000000007</v>
      </c>
      <c r="AC194" s="8">
        <v>2</v>
      </c>
    </row>
    <row r="195" spans="2:29" x14ac:dyDescent="0.25">
      <c r="B195" s="49">
        <v>4.6666666666666661</v>
      </c>
      <c r="C195" s="8">
        <v>42</v>
      </c>
      <c r="D195" s="8">
        <v>2</v>
      </c>
      <c r="E195" s="8">
        <v>1</v>
      </c>
      <c r="K195" s="8"/>
      <c r="L195" s="8"/>
      <c r="M195" s="8"/>
      <c r="N195" s="8"/>
      <c r="O195" s="49"/>
      <c r="Z195" s="49">
        <v>3.5479166666666666</v>
      </c>
      <c r="AA195" s="8">
        <v>18</v>
      </c>
      <c r="AB195" s="8">
        <v>0.57499999999999929</v>
      </c>
      <c r="AC195" s="8">
        <v>2</v>
      </c>
    </row>
    <row r="196" spans="2:29" x14ac:dyDescent="0.25">
      <c r="B196" s="49">
        <v>5.166666666666667</v>
      </c>
      <c r="C196" s="8">
        <v>48</v>
      </c>
      <c r="D196" s="8">
        <v>2</v>
      </c>
      <c r="E196" s="8">
        <v>1</v>
      </c>
      <c r="K196" s="8"/>
      <c r="L196" s="8"/>
      <c r="M196" s="8"/>
      <c r="N196" s="8"/>
      <c r="O196" s="49"/>
      <c r="Z196" s="49">
        <v>3.8162500000000001</v>
      </c>
      <c r="AA196" s="8">
        <v>21</v>
      </c>
      <c r="AB196" s="8">
        <v>0.79499999999999993</v>
      </c>
      <c r="AC196" s="8">
        <v>2</v>
      </c>
    </row>
    <row r="197" spans="2:29" x14ac:dyDescent="0.25">
      <c r="B197" s="49">
        <v>5.666666666666667</v>
      </c>
      <c r="C197" s="8">
        <v>54</v>
      </c>
      <c r="D197" s="8">
        <v>2</v>
      </c>
      <c r="E197" s="8">
        <v>1</v>
      </c>
      <c r="K197" s="8"/>
      <c r="L197" s="8"/>
      <c r="M197" s="8"/>
      <c r="N197" s="8"/>
      <c r="O197" s="49"/>
      <c r="Z197" s="49">
        <v>4.0658333333333339</v>
      </c>
      <c r="AA197" s="8">
        <v>24</v>
      </c>
      <c r="AB197" s="8">
        <v>0.78999999999999915</v>
      </c>
      <c r="AC197" s="8">
        <v>2</v>
      </c>
    </row>
    <row r="198" spans="2:29" x14ac:dyDescent="0.25">
      <c r="B198" s="49">
        <v>6.166666666666667</v>
      </c>
      <c r="C198" s="8">
        <v>60</v>
      </c>
      <c r="D198" s="8">
        <v>2</v>
      </c>
      <c r="E198" s="8">
        <v>1</v>
      </c>
      <c r="K198" s="8"/>
      <c r="L198" s="8"/>
      <c r="M198" s="8"/>
      <c r="N198" s="8"/>
      <c r="O198" s="49"/>
      <c r="Z198" s="49">
        <v>4.3277083333333337</v>
      </c>
      <c r="AA198" s="8">
        <v>27</v>
      </c>
      <c r="AB198" s="8">
        <v>0.93249999999999922</v>
      </c>
      <c r="AC198" s="8">
        <v>2</v>
      </c>
    </row>
    <row r="199" spans="2:29" x14ac:dyDescent="0.25">
      <c r="B199" s="49">
        <v>6.666666666666667</v>
      </c>
      <c r="C199" s="8">
        <v>66</v>
      </c>
      <c r="D199" s="8">
        <v>2</v>
      </c>
      <c r="E199" s="8">
        <v>1</v>
      </c>
      <c r="K199" s="8"/>
      <c r="L199" s="8"/>
      <c r="M199" s="8"/>
      <c r="N199" s="8"/>
      <c r="O199" s="49"/>
    </row>
    <row r="200" spans="2:29" x14ac:dyDescent="0.25">
      <c r="B200" s="49">
        <v>7.166666666666667</v>
      </c>
      <c r="C200" s="8">
        <v>72</v>
      </c>
      <c r="D200" s="8">
        <v>2</v>
      </c>
      <c r="E200" s="8">
        <v>1</v>
      </c>
      <c r="K200" s="8"/>
      <c r="L200" s="8"/>
      <c r="M200" s="8"/>
      <c r="N200" s="8"/>
      <c r="O200" s="49"/>
    </row>
    <row r="201" spans="2:29" x14ac:dyDescent="0.25">
      <c r="B201" s="49">
        <v>7.666666666666667</v>
      </c>
      <c r="C201" s="8">
        <v>78</v>
      </c>
      <c r="D201" s="8">
        <v>2</v>
      </c>
      <c r="E201" s="8">
        <v>1</v>
      </c>
      <c r="K201" s="8"/>
      <c r="L201" s="8"/>
      <c r="M201" s="8"/>
      <c r="N201" s="8"/>
      <c r="O201" s="49"/>
      <c r="Y201" s="53" t="s">
        <v>73</v>
      </c>
      <c r="Z201" s="47" t="s">
        <v>105</v>
      </c>
    </row>
    <row r="202" spans="2:29" x14ac:dyDescent="0.25">
      <c r="B202" s="49">
        <v>8.1666666666666679</v>
      </c>
      <c r="C202" s="8">
        <v>84</v>
      </c>
      <c r="D202" s="8">
        <v>2</v>
      </c>
      <c r="E202" s="8">
        <v>1</v>
      </c>
      <c r="K202" s="8"/>
      <c r="L202" s="8"/>
      <c r="M202" s="8"/>
      <c r="N202" s="8"/>
      <c r="O202" s="49"/>
    </row>
    <row r="203" spans="2:29" x14ac:dyDescent="0.25">
      <c r="B203" s="49">
        <v>8.6666666666666679</v>
      </c>
      <c r="C203" s="8">
        <v>90</v>
      </c>
      <c r="D203" s="8">
        <v>2</v>
      </c>
      <c r="E203" s="8">
        <v>1</v>
      </c>
      <c r="K203" s="8"/>
      <c r="L203" s="8"/>
      <c r="M203" s="8"/>
      <c r="N203" s="8"/>
      <c r="O203" s="49"/>
      <c r="Z203" s="8" t="s">
        <v>62</v>
      </c>
      <c r="AA203" s="8" t="s">
        <v>96</v>
      </c>
      <c r="AB203" s="8" t="s">
        <v>60</v>
      </c>
      <c r="AC203" s="8" t="s">
        <v>61</v>
      </c>
    </row>
    <row r="204" spans="2:29" x14ac:dyDescent="0.25">
      <c r="B204" s="49">
        <v>9.1666666666666661</v>
      </c>
      <c r="C204" s="8">
        <v>96</v>
      </c>
      <c r="D204" s="8">
        <v>2</v>
      </c>
      <c r="E204" s="8">
        <v>1</v>
      </c>
      <c r="K204" s="8"/>
      <c r="L204" s="8"/>
      <c r="M204" s="8"/>
      <c r="N204" s="8"/>
      <c r="O204" s="49"/>
      <c r="Z204" s="8" t="s">
        <v>66</v>
      </c>
      <c r="AA204" s="8" t="s">
        <v>63</v>
      </c>
      <c r="AB204" s="8" t="s">
        <v>64</v>
      </c>
      <c r="AC204" s="8" t="s">
        <v>65</v>
      </c>
    </row>
    <row r="205" spans="2:29" x14ac:dyDescent="0.25">
      <c r="B205" s="49">
        <v>9.7666666666666657</v>
      </c>
      <c r="C205" s="8">
        <v>102</v>
      </c>
      <c r="D205" s="8">
        <v>2</v>
      </c>
      <c r="E205" s="8">
        <v>1.1000000000000001</v>
      </c>
      <c r="K205" s="8"/>
      <c r="L205" s="8"/>
      <c r="M205" s="8"/>
      <c r="N205" s="8"/>
      <c r="O205" s="49"/>
      <c r="Z205" s="11" t="s">
        <v>53</v>
      </c>
      <c r="AA205" s="11" t="s">
        <v>48</v>
      </c>
      <c r="AB205" s="11" t="s">
        <v>48</v>
      </c>
      <c r="AC205" s="11" t="s">
        <v>53</v>
      </c>
    </row>
    <row r="206" spans="2:29" x14ac:dyDescent="0.25">
      <c r="B206" s="49">
        <v>10.266666666666666</v>
      </c>
      <c r="C206" s="8">
        <v>108</v>
      </c>
      <c r="D206" s="8">
        <v>2</v>
      </c>
      <c r="E206" s="8">
        <v>1.1000000000000001</v>
      </c>
      <c r="K206" s="8"/>
      <c r="L206" s="8"/>
      <c r="M206" s="8"/>
      <c r="N206" s="8"/>
      <c r="O206" s="49"/>
      <c r="Z206" s="8"/>
      <c r="AA206" s="8"/>
      <c r="AB206" s="8"/>
      <c r="AC206" s="8"/>
    </row>
    <row r="207" spans="2:29" x14ac:dyDescent="0.25">
      <c r="B207" s="49">
        <v>10.866666666666665</v>
      </c>
      <c r="C207" s="8">
        <v>114</v>
      </c>
      <c r="D207" s="8">
        <v>2</v>
      </c>
      <c r="E207" s="8">
        <v>1.2</v>
      </c>
      <c r="Z207" s="49">
        <v>3.104166666666667</v>
      </c>
      <c r="AA207" s="8">
        <v>12</v>
      </c>
      <c r="AB207" s="8">
        <v>1.25</v>
      </c>
      <c r="AC207" s="8">
        <v>2</v>
      </c>
    </row>
    <row r="208" spans="2:29" x14ac:dyDescent="0.25">
      <c r="B208" s="49">
        <v>11.466666666666667</v>
      </c>
      <c r="C208" s="8">
        <v>120</v>
      </c>
      <c r="D208" s="8">
        <v>2</v>
      </c>
      <c r="E208" s="8">
        <v>1.3</v>
      </c>
      <c r="Z208" s="49">
        <v>3.3624999999999998</v>
      </c>
      <c r="AA208" s="8">
        <v>15</v>
      </c>
      <c r="AB208" s="8">
        <v>1.3499999999999996</v>
      </c>
      <c r="AC208" s="8">
        <v>2</v>
      </c>
    </row>
    <row r="209" spans="1:72" x14ac:dyDescent="0.25">
      <c r="B209" s="49">
        <v>11.966666666666667</v>
      </c>
      <c r="C209" s="8">
        <v>126</v>
      </c>
      <c r="D209" s="8">
        <v>2</v>
      </c>
      <c r="E209" s="8">
        <v>1.3</v>
      </c>
      <c r="K209" s="8"/>
      <c r="L209" s="8"/>
      <c r="M209" s="8"/>
      <c r="N209" s="8"/>
      <c r="Z209" s="49">
        <v>3.6416666666666666</v>
      </c>
      <c r="AA209" s="8">
        <v>18</v>
      </c>
      <c r="AB209" s="8">
        <v>1.6999999999999993</v>
      </c>
      <c r="AC209" s="8">
        <v>2</v>
      </c>
    </row>
    <row r="210" spans="1:72" x14ac:dyDescent="0.25">
      <c r="B210" s="49">
        <v>12.566666666666666</v>
      </c>
      <c r="C210" s="8">
        <v>132</v>
      </c>
      <c r="D210" s="8">
        <v>2</v>
      </c>
      <c r="E210" s="8">
        <v>1.4</v>
      </c>
      <c r="Z210" s="49">
        <v>3.9041666666666668</v>
      </c>
      <c r="AA210" s="8">
        <v>21</v>
      </c>
      <c r="AB210" s="8">
        <v>1.8499999999999996</v>
      </c>
      <c r="AC210" s="8">
        <v>2</v>
      </c>
      <c r="BT210" s="52"/>
    </row>
    <row r="211" spans="1:72" x14ac:dyDescent="0.25">
      <c r="B211" s="49">
        <v>13.066666666666666</v>
      </c>
      <c r="C211" s="8">
        <v>138</v>
      </c>
      <c r="D211" s="8">
        <v>2</v>
      </c>
      <c r="E211" s="8">
        <v>1.4</v>
      </c>
      <c r="Z211" s="49">
        <v>4.1666666666666661</v>
      </c>
      <c r="AA211" s="8">
        <v>24</v>
      </c>
      <c r="AB211" s="8">
        <v>2</v>
      </c>
      <c r="AC211" s="8">
        <v>2</v>
      </c>
    </row>
    <row r="212" spans="1:72" x14ac:dyDescent="0.25">
      <c r="B212" s="49">
        <v>13.666666666666666</v>
      </c>
      <c r="C212" s="8">
        <v>144</v>
      </c>
      <c r="D212" s="8">
        <v>2</v>
      </c>
      <c r="E212" s="8">
        <v>1.5</v>
      </c>
      <c r="Z212" s="49">
        <v>4.9291666666666671</v>
      </c>
      <c r="AA212" s="8">
        <v>30</v>
      </c>
      <c r="AB212" s="8">
        <v>2.75</v>
      </c>
      <c r="AC212" s="8">
        <v>2.2000000000000002</v>
      </c>
    </row>
    <row r="213" spans="1:72" x14ac:dyDescent="0.25">
      <c r="Z213" s="49">
        <v>5.8291666666666666</v>
      </c>
      <c r="AA213" s="8">
        <v>36</v>
      </c>
      <c r="AB213" s="8">
        <v>2.75</v>
      </c>
      <c r="AC213" s="8">
        <v>2.6</v>
      </c>
    </row>
    <row r="214" spans="1:72" x14ac:dyDescent="0.25">
      <c r="Z214" s="49">
        <v>6.8083333333333336</v>
      </c>
      <c r="AA214" s="8">
        <v>42</v>
      </c>
      <c r="AB214" s="8">
        <v>2.5</v>
      </c>
      <c r="AC214" s="8">
        <v>3.1</v>
      </c>
    </row>
    <row r="215" spans="1:72" x14ac:dyDescent="0.25">
      <c r="A215" s="8">
        <v>6</v>
      </c>
      <c r="B215" t="s">
        <v>79</v>
      </c>
      <c r="Z215" s="49">
        <v>7.7541666666666664</v>
      </c>
      <c r="AA215" s="8">
        <v>48</v>
      </c>
      <c r="AB215" s="8">
        <v>3.0500000000000007</v>
      </c>
      <c r="AC215" s="8">
        <v>3.5</v>
      </c>
    </row>
    <row r="216" spans="1:72" x14ac:dyDescent="0.25">
      <c r="Z216" s="49">
        <v>9.5958333333333332</v>
      </c>
      <c r="AA216" s="8">
        <v>60</v>
      </c>
      <c r="AB216" s="8">
        <v>3.5499999999999972</v>
      </c>
      <c r="AC216" s="8">
        <v>4.3</v>
      </c>
    </row>
    <row r="217" spans="1:72" x14ac:dyDescent="0.25">
      <c r="B217" s="8" t="s">
        <v>62</v>
      </c>
      <c r="D217" s="8" t="s">
        <v>60</v>
      </c>
      <c r="E217" s="8" t="s">
        <v>61</v>
      </c>
    </row>
    <row r="218" spans="1:72" x14ac:dyDescent="0.25">
      <c r="B218" s="8" t="s">
        <v>66</v>
      </c>
      <c r="C218" s="8" t="s">
        <v>63</v>
      </c>
      <c r="D218" s="8" t="s">
        <v>64</v>
      </c>
      <c r="E218" s="8" t="s">
        <v>65</v>
      </c>
    </row>
    <row r="219" spans="1:72" x14ac:dyDescent="0.25">
      <c r="B219" s="8" t="s">
        <v>53</v>
      </c>
      <c r="C219" s="8" t="s">
        <v>48</v>
      </c>
      <c r="D219" s="8" t="s">
        <v>48</v>
      </c>
      <c r="E219" s="8" t="s">
        <v>53</v>
      </c>
    </row>
    <row r="220" spans="1:72" x14ac:dyDescent="0.25">
      <c r="B220" s="8"/>
      <c r="C220" s="8"/>
      <c r="D220" s="8"/>
      <c r="E220" s="8"/>
      <c r="Z220" t="s">
        <v>95</v>
      </c>
    </row>
    <row r="221" spans="1:72" x14ac:dyDescent="0.25">
      <c r="B221" s="8">
        <v>0</v>
      </c>
      <c r="C221" s="8" t="s">
        <v>67</v>
      </c>
    </row>
    <row r="222" spans="1:72" x14ac:dyDescent="0.25">
      <c r="B222" s="49">
        <v>3.6666666666666665</v>
      </c>
      <c r="C222" s="8">
        <v>30</v>
      </c>
      <c r="D222" s="8">
        <v>2</v>
      </c>
      <c r="E222" s="8">
        <v>1</v>
      </c>
      <c r="AA222" t="s">
        <v>96</v>
      </c>
    </row>
    <row r="223" spans="1:72" x14ac:dyDescent="0.25">
      <c r="B223" s="49">
        <v>3.9166666666666665</v>
      </c>
      <c r="C223" s="8">
        <v>33</v>
      </c>
      <c r="D223" s="8">
        <v>2</v>
      </c>
      <c r="E223" s="8">
        <v>1</v>
      </c>
      <c r="AA223" t="s">
        <v>97</v>
      </c>
      <c r="AB223" t="s">
        <v>60</v>
      </c>
      <c r="AC223" t="s">
        <v>61</v>
      </c>
      <c r="AD223" t="s">
        <v>62</v>
      </c>
    </row>
    <row r="224" spans="1:72" x14ac:dyDescent="0.25">
      <c r="B224" s="49">
        <v>4.1666666666666661</v>
      </c>
      <c r="C224" s="8">
        <v>36</v>
      </c>
      <c r="D224" s="8">
        <v>2</v>
      </c>
      <c r="E224" s="8">
        <v>1</v>
      </c>
      <c r="AA224" t="s">
        <v>63</v>
      </c>
      <c r="AB224" t="s">
        <v>64</v>
      </c>
      <c r="AC224" t="s">
        <v>65</v>
      </c>
      <c r="AD224" t="s">
        <v>66</v>
      </c>
    </row>
    <row r="225" spans="2:30" x14ac:dyDescent="0.25">
      <c r="B225" s="49">
        <v>4.6666666666666661</v>
      </c>
      <c r="C225" s="8">
        <v>42</v>
      </c>
      <c r="D225" s="8">
        <v>2</v>
      </c>
      <c r="E225" s="8">
        <v>1</v>
      </c>
      <c r="AA225" t="s">
        <v>48</v>
      </c>
      <c r="AB225" t="s">
        <v>48</v>
      </c>
      <c r="AC225" t="s">
        <v>53</v>
      </c>
      <c r="AD225" t="s">
        <v>53</v>
      </c>
    </row>
    <row r="226" spans="2:30" x14ac:dyDescent="0.25">
      <c r="B226" s="49">
        <v>5.166666666666667</v>
      </c>
      <c r="C226" s="8">
        <v>48</v>
      </c>
      <c r="D226" s="8">
        <v>2</v>
      </c>
      <c r="E226" s="8">
        <v>1</v>
      </c>
    </row>
    <row r="227" spans="2:30" x14ac:dyDescent="0.25">
      <c r="B227" s="49">
        <v>5.666666666666667</v>
      </c>
      <c r="C227" s="8">
        <v>54</v>
      </c>
      <c r="D227" s="8">
        <v>2</v>
      </c>
      <c r="E227" s="8">
        <v>1</v>
      </c>
      <c r="AA227">
        <v>12</v>
      </c>
      <c r="AB227">
        <v>1.25</v>
      </c>
      <c r="AC227">
        <v>2</v>
      </c>
      <c r="AD227" s="52">
        <v>3.104166666666667</v>
      </c>
    </row>
    <row r="228" spans="2:30" x14ac:dyDescent="0.25">
      <c r="B228" s="49">
        <v>6.166666666666667</v>
      </c>
      <c r="C228" s="8">
        <v>60</v>
      </c>
      <c r="D228" s="8">
        <v>2</v>
      </c>
      <c r="E228" s="8">
        <v>1</v>
      </c>
      <c r="AA228">
        <v>12</v>
      </c>
      <c r="AB228">
        <v>0.40000000000000036</v>
      </c>
      <c r="AC228">
        <v>2</v>
      </c>
      <c r="AD228" s="52">
        <v>3.0333333333333332</v>
      </c>
    </row>
    <row r="229" spans="2:30" x14ac:dyDescent="0.25">
      <c r="B229" s="49">
        <v>6.666666666666667</v>
      </c>
      <c r="C229" s="8">
        <v>66</v>
      </c>
      <c r="D229" s="8">
        <v>2</v>
      </c>
      <c r="E229" s="8">
        <v>1</v>
      </c>
      <c r="AA229">
        <v>12</v>
      </c>
      <c r="AB229">
        <v>0.40000000000000036</v>
      </c>
      <c r="AC229">
        <v>2</v>
      </c>
      <c r="AD229" s="52">
        <v>3.0333333333333332</v>
      </c>
    </row>
    <row r="230" spans="2:30" x14ac:dyDescent="0.25">
      <c r="B230" s="49">
        <v>7.166666666666667</v>
      </c>
      <c r="C230" s="8">
        <v>72</v>
      </c>
      <c r="D230" s="8">
        <v>2</v>
      </c>
      <c r="E230" s="8">
        <v>1</v>
      </c>
    </row>
    <row r="231" spans="2:30" x14ac:dyDescent="0.25">
      <c r="B231" s="49">
        <v>7.666666666666667</v>
      </c>
      <c r="C231" s="8">
        <v>78</v>
      </c>
      <c r="D231" s="8">
        <v>2</v>
      </c>
      <c r="E231" s="8">
        <v>1</v>
      </c>
    </row>
    <row r="232" spans="2:30" x14ac:dyDescent="0.25">
      <c r="B232" s="49">
        <v>8.1666666666666679</v>
      </c>
      <c r="C232" s="8">
        <v>84</v>
      </c>
      <c r="D232" s="8">
        <v>2</v>
      </c>
      <c r="E232" s="8">
        <v>1</v>
      </c>
    </row>
    <row r="233" spans="2:30" x14ac:dyDescent="0.25">
      <c r="B233" s="49">
        <v>8.6666666666666679</v>
      </c>
      <c r="C233" s="8">
        <v>90</v>
      </c>
      <c r="D233" s="8">
        <v>2</v>
      </c>
      <c r="E233" s="8">
        <v>1</v>
      </c>
      <c r="AA233">
        <v>15</v>
      </c>
      <c r="AB233">
        <v>1.25</v>
      </c>
      <c r="AC233">
        <v>2</v>
      </c>
      <c r="AD233" s="52">
        <v>3.354166666666667</v>
      </c>
    </row>
    <row r="234" spans="2:30" x14ac:dyDescent="0.25">
      <c r="B234" s="49">
        <v>9.1666666666666661</v>
      </c>
      <c r="C234" s="8">
        <v>96</v>
      </c>
      <c r="D234" s="8">
        <v>2</v>
      </c>
      <c r="E234" s="8">
        <v>1</v>
      </c>
      <c r="AA234">
        <v>15</v>
      </c>
      <c r="AB234">
        <v>0.33000000000000007</v>
      </c>
      <c r="AC234">
        <v>2</v>
      </c>
      <c r="AD234" s="52">
        <v>3.2774999999999999</v>
      </c>
    </row>
    <row r="235" spans="2:30" x14ac:dyDescent="0.25">
      <c r="B235" s="49">
        <v>9.7666666666666657</v>
      </c>
      <c r="C235" s="8">
        <v>102</v>
      </c>
      <c r="D235" s="8">
        <v>2</v>
      </c>
      <c r="E235" s="8">
        <v>1.1000000000000001</v>
      </c>
      <c r="AA235">
        <v>15</v>
      </c>
      <c r="AB235">
        <v>0.33000000000000007</v>
      </c>
      <c r="AC235">
        <v>2</v>
      </c>
      <c r="AD235" s="52">
        <v>3.2774999999999999</v>
      </c>
    </row>
    <row r="236" spans="2:30" x14ac:dyDescent="0.25">
      <c r="B236" s="49">
        <v>10.266666666666666</v>
      </c>
      <c r="C236" s="8">
        <v>108</v>
      </c>
      <c r="D236" s="8">
        <v>2</v>
      </c>
      <c r="E236" s="8">
        <v>1.1000000000000001</v>
      </c>
    </row>
    <row r="237" spans="2:30" x14ac:dyDescent="0.25">
      <c r="B237" s="49">
        <v>10.866666666666665</v>
      </c>
      <c r="C237" s="8">
        <v>114</v>
      </c>
      <c r="D237" s="8">
        <v>2</v>
      </c>
      <c r="E237" s="8">
        <v>1.2</v>
      </c>
      <c r="AA237">
        <v>18</v>
      </c>
      <c r="AB237">
        <v>1.75</v>
      </c>
      <c r="AC237">
        <v>2</v>
      </c>
      <c r="AD237" s="52">
        <v>3.645833333333333</v>
      </c>
    </row>
    <row r="238" spans="2:30" x14ac:dyDescent="0.25">
      <c r="B238" s="49">
        <v>11.466666666666667</v>
      </c>
      <c r="C238" s="8">
        <v>120</v>
      </c>
      <c r="D238" s="8">
        <v>2</v>
      </c>
      <c r="E238" s="8">
        <v>1.3</v>
      </c>
      <c r="AA238">
        <v>18</v>
      </c>
      <c r="AB238" s="52">
        <v>1.6363636363636365</v>
      </c>
      <c r="AC238">
        <v>2</v>
      </c>
      <c r="AD238" s="52">
        <v>3.6363636363636367</v>
      </c>
    </row>
    <row r="239" spans="2:30" x14ac:dyDescent="0.25">
      <c r="AA239">
        <v>18</v>
      </c>
      <c r="AB239">
        <v>1.4000000000000004</v>
      </c>
      <c r="AC239">
        <v>2</v>
      </c>
      <c r="AD239" s="52">
        <v>3.6166666666666663</v>
      </c>
    </row>
    <row r="240" spans="2:30" x14ac:dyDescent="0.25">
      <c r="AA240">
        <v>18</v>
      </c>
      <c r="AB240">
        <v>1.4000000000000004</v>
      </c>
      <c r="AC240">
        <v>2</v>
      </c>
      <c r="AD240" s="52">
        <v>3.6166666666666663</v>
      </c>
    </row>
    <row r="241" spans="1:30" x14ac:dyDescent="0.25">
      <c r="A241" s="53">
        <v>14</v>
      </c>
      <c r="B241" s="47" t="s">
        <v>80</v>
      </c>
      <c r="AA241">
        <v>18</v>
      </c>
      <c r="AB241">
        <v>0.57499999999999929</v>
      </c>
      <c r="AC241">
        <v>2</v>
      </c>
      <c r="AD241" s="52">
        <v>3.5479166666666666</v>
      </c>
    </row>
    <row r="242" spans="1:30" x14ac:dyDescent="0.25">
      <c r="AA242">
        <v>18</v>
      </c>
      <c r="AB242">
        <v>0.57499999999999929</v>
      </c>
      <c r="AC242">
        <v>2</v>
      </c>
      <c r="AD242" s="52">
        <v>3.5479166666666666</v>
      </c>
    </row>
    <row r="243" spans="1:30" x14ac:dyDescent="0.25">
      <c r="B243" s="8" t="s">
        <v>62</v>
      </c>
      <c r="C243" s="8"/>
      <c r="D243" s="8" t="s">
        <v>60</v>
      </c>
      <c r="E243" s="8" t="s">
        <v>61</v>
      </c>
    </row>
    <row r="244" spans="1:30" x14ac:dyDescent="0.25">
      <c r="B244" s="8" t="s">
        <v>66</v>
      </c>
      <c r="C244" s="8" t="s">
        <v>63</v>
      </c>
      <c r="D244" s="8" t="s">
        <v>64</v>
      </c>
      <c r="E244" s="8" t="s">
        <v>65</v>
      </c>
    </row>
    <row r="245" spans="1:30" x14ac:dyDescent="0.25">
      <c r="B245" s="11" t="s">
        <v>53</v>
      </c>
      <c r="C245" s="11" t="s">
        <v>48</v>
      </c>
      <c r="D245" s="11" t="s">
        <v>48</v>
      </c>
      <c r="E245" s="11" t="s">
        <v>53</v>
      </c>
      <c r="AA245">
        <v>21</v>
      </c>
      <c r="AB245">
        <v>1.5999999999999996</v>
      </c>
      <c r="AC245">
        <v>2</v>
      </c>
      <c r="AD245" s="52">
        <v>3.8833333333333337</v>
      </c>
    </row>
    <row r="246" spans="1:30" x14ac:dyDescent="0.25">
      <c r="AA246">
        <v>21</v>
      </c>
      <c r="AB246">
        <v>1.5999999999999996</v>
      </c>
      <c r="AC246">
        <v>2</v>
      </c>
      <c r="AD246" s="52">
        <v>3.8833333333333337</v>
      </c>
    </row>
    <row r="247" spans="1:30" x14ac:dyDescent="0.25">
      <c r="B247" s="8">
        <v>0</v>
      </c>
      <c r="C247" s="8" t="s">
        <v>67</v>
      </c>
      <c r="AA247">
        <v>21</v>
      </c>
      <c r="AB247">
        <v>0.79499999999999993</v>
      </c>
      <c r="AC247">
        <v>2</v>
      </c>
      <c r="AD247" s="52">
        <v>3.8162500000000001</v>
      </c>
    </row>
    <row r="248" spans="1:30" x14ac:dyDescent="0.25">
      <c r="B248" s="49">
        <f t="shared" ref="B248:B266" si="23">(C248+D248)/12+E248</f>
        <v>4.1666666666666661</v>
      </c>
      <c r="C248" s="8">
        <v>36</v>
      </c>
      <c r="D248" s="8">
        <v>2</v>
      </c>
      <c r="E248" s="8">
        <v>1</v>
      </c>
      <c r="AA248">
        <v>21</v>
      </c>
      <c r="AB248">
        <v>0.79499999999999993</v>
      </c>
      <c r="AC248">
        <v>2</v>
      </c>
      <c r="AD248" s="52">
        <v>3.8162500000000001</v>
      </c>
    </row>
    <row r="249" spans="1:30" x14ac:dyDescent="0.25">
      <c r="B249" s="49">
        <f t="shared" si="23"/>
        <v>4.6666666666666661</v>
      </c>
      <c r="C249" s="8">
        <v>42</v>
      </c>
      <c r="D249" s="8">
        <v>2</v>
      </c>
      <c r="E249" s="8">
        <v>1</v>
      </c>
      <c r="AA249">
        <v>21</v>
      </c>
      <c r="AB249">
        <v>1.8499999999999996</v>
      </c>
      <c r="AC249">
        <v>2</v>
      </c>
      <c r="AD249" s="52">
        <v>3.9041666666666668</v>
      </c>
    </row>
    <row r="250" spans="1:30" x14ac:dyDescent="0.25">
      <c r="B250" s="49">
        <f t="shared" si="23"/>
        <v>5.166666666666667</v>
      </c>
      <c r="C250" s="8">
        <v>48</v>
      </c>
      <c r="D250" s="8">
        <v>2</v>
      </c>
      <c r="E250" s="8">
        <v>1</v>
      </c>
    </row>
    <row r="251" spans="1:30" x14ac:dyDescent="0.25">
      <c r="B251" s="49">
        <f t="shared" si="23"/>
        <v>5.666666666666667</v>
      </c>
      <c r="C251" s="8">
        <v>54</v>
      </c>
      <c r="D251" s="8">
        <v>2</v>
      </c>
      <c r="E251" s="8">
        <v>1</v>
      </c>
    </row>
    <row r="252" spans="1:30" x14ac:dyDescent="0.25">
      <c r="B252" s="49">
        <f t="shared" si="23"/>
        <v>6.166666666666667</v>
      </c>
      <c r="C252" s="8">
        <v>60</v>
      </c>
      <c r="D252" s="8">
        <v>2</v>
      </c>
      <c r="E252" s="8">
        <v>1</v>
      </c>
      <c r="AA252">
        <v>24</v>
      </c>
      <c r="AB252">
        <v>2</v>
      </c>
      <c r="AC252">
        <v>2</v>
      </c>
      <c r="AD252" s="52">
        <v>4.1666666666666661</v>
      </c>
    </row>
    <row r="253" spans="1:30" x14ac:dyDescent="0.25">
      <c r="B253" s="49">
        <f t="shared" si="23"/>
        <v>6.666666666666667</v>
      </c>
      <c r="C253" s="8">
        <v>66</v>
      </c>
      <c r="D253" s="8">
        <v>2</v>
      </c>
      <c r="E253" s="8">
        <v>1</v>
      </c>
    </row>
    <row r="254" spans="1:30" x14ac:dyDescent="0.25">
      <c r="B254" s="49">
        <f t="shared" si="23"/>
        <v>7.166666666666667</v>
      </c>
      <c r="C254" s="8">
        <v>72</v>
      </c>
      <c r="D254" s="8">
        <v>2</v>
      </c>
      <c r="E254" s="8">
        <v>1</v>
      </c>
      <c r="AA254">
        <v>24</v>
      </c>
      <c r="AB254">
        <v>1.8000000000000007</v>
      </c>
      <c r="AC254">
        <v>2</v>
      </c>
      <c r="AD254" s="52">
        <v>4.1500000000000004</v>
      </c>
    </row>
    <row r="255" spans="1:30" x14ac:dyDescent="0.25">
      <c r="B255" s="49">
        <f t="shared" si="23"/>
        <v>7.666666666666667</v>
      </c>
      <c r="C255" s="8">
        <v>78</v>
      </c>
      <c r="D255" s="8">
        <v>2</v>
      </c>
      <c r="E255" s="8">
        <v>1</v>
      </c>
      <c r="AA255">
        <v>24</v>
      </c>
      <c r="AB255">
        <v>1.8000000000000007</v>
      </c>
      <c r="AC255">
        <v>2</v>
      </c>
      <c r="AD255" s="52">
        <v>4.1500000000000004</v>
      </c>
    </row>
    <row r="256" spans="1:30" x14ac:dyDescent="0.25">
      <c r="B256" s="49">
        <f t="shared" si="23"/>
        <v>8.1666666666666679</v>
      </c>
      <c r="C256" s="8">
        <v>84</v>
      </c>
      <c r="D256" s="8">
        <v>2</v>
      </c>
      <c r="E256" s="8">
        <v>1</v>
      </c>
      <c r="AA256">
        <v>24</v>
      </c>
      <c r="AB256">
        <v>0.78999999999999915</v>
      </c>
      <c r="AC256">
        <v>2</v>
      </c>
      <c r="AD256" s="52">
        <v>4.0658333333333339</v>
      </c>
    </row>
    <row r="257" spans="1:30" x14ac:dyDescent="0.25">
      <c r="B257" s="49">
        <f t="shared" si="23"/>
        <v>8.6666666666666679</v>
      </c>
      <c r="C257" s="8">
        <v>90</v>
      </c>
      <c r="D257" s="8">
        <v>2</v>
      </c>
      <c r="E257" s="8">
        <v>1</v>
      </c>
      <c r="W257">
        <v>12</v>
      </c>
      <c r="X257">
        <v>1.25</v>
      </c>
      <c r="Y257">
        <v>2</v>
      </c>
      <c r="Z257" s="52">
        <v>3.104166666666667</v>
      </c>
      <c r="AA257">
        <v>24</v>
      </c>
      <c r="AB257">
        <v>0.78999999999999915</v>
      </c>
      <c r="AC257">
        <v>2</v>
      </c>
      <c r="AD257" s="52">
        <v>4.0658333333333339</v>
      </c>
    </row>
    <row r="258" spans="1:30" x14ac:dyDescent="0.25">
      <c r="B258" s="49">
        <f t="shared" si="23"/>
        <v>9.1666666666666661</v>
      </c>
      <c r="C258" s="8">
        <v>96</v>
      </c>
      <c r="D258" s="8">
        <v>2</v>
      </c>
      <c r="E258" s="8">
        <v>1</v>
      </c>
      <c r="W258">
        <v>13</v>
      </c>
      <c r="X258" s="52">
        <v>1.1818181818181819</v>
      </c>
      <c r="Y258">
        <v>2</v>
      </c>
      <c r="Z258" s="52">
        <v>3.1818181818181817</v>
      </c>
      <c r="AA258">
        <v>24</v>
      </c>
      <c r="AB258">
        <v>2</v>
      </c>
      <c r="AC258">
        <v>2</v>
      </c>
      <c r="AD258" s="52">
        <v>4.1666666666666661</v>
      </c>
    </row>
    <row r="259" spans="1:30" x14ac:dyDescent="0.25">
      <c r="B259" s="49">
        <f t="shared" si="23"/>
        <v>9.7666666666666657</v>
      </c>
      <c r="C259" s="8">
        <v>102</v>
      </c>
      <c r="D259" s="8">
        <v>2</v>
      </c>
      <c r="E259" s="8">
        <v>1.1000000000000001</v>
      </c>
      <c r="W259">
        <v>14</v>
      </c>
      <c r="X259" s="52">
        <v>1.2727272727272727</v>
      </c>
      <c r="Y259">
        <v>2</v>
      </c>
      <c r="Z259" s="52">
        <v>3.2727272727272725</v>
      </c>
    </row>
    <row r="260" spans="1:30" x14ac:dyDescent="0.25">
      <c r="B260" s="49">
        <f t="shared" si="23"/>
        <v>10.266666666666666</v>
      </c>
      <c r="C260" s="8">
        <v>108</v>
      </c>
      <c r="D260" s="8">
        <v>2</v>
      </c>
      <c r="E260" s="8">
        <v>1.1000000000000001</v>
      </c>
      <c r="W260">
        <v>15</v>
      </c>
      <c r="X260">
        <v>1.3499999999999996</v>
      </c>
      <c r="Y260">
        <v>2</v>
      </c>
      <c r="Z260" s="52">
        <v>3.3624999999999998</v>
      </c>
      <c r="AA260">
        <v>27</v>
      </c>
      <c r="AB260">
        <v>2</v>
      </c>
      <c r="AC260">
        <v>2</v>
      </c>
      <c r="AD260" s="52">
        <v>4.4166666666666661</v>
      </c>
    </row>
    <row r="261" spans="1:30" x14ac:dyDescent="0.25">
      <c r="B261" s="49">
        <f t="shared" si="23"/>
        <v>10.866666666666665</v>
      </c>
      <c r="C261" s="8">
        <v>114</v>
      </c>
      <c r="D261" s="8">
        <v>2</v>
      </c>
      <c r="E261" s="8">
        <v>1.2</v>
      </c>
      <c r="W261">
        <v>18</v>
      </c>
      <c r="X261">
        <v>1.6999999999999993</v>
      </c>
      <c r="Y261">
        <v>2</v>
      </c>
      <c r="Z261" s="52">
        <v>3.6416666666666666</v>
      </c>
    </row>
    <row r="262" spans="1:30" x14ac:dyDescent="0.25">
      <c r="B262" s="49">
        <f t="shared" si="23"/>
        <v>11.466666666666667</v>
      </c>
      <c r="C262" s="8">
        <v>120</v>
      </c>
      <c r="D262" s="8">
        <v>2</v>
      </c>
      <c r="E262" s="8">
        <v>1.3</v>
      </c>
      <c r="W262">
        <v>20</v>
      </c>
      <c r="X262" s="52">
        <v>1.8181818181818181</v>
      </c>
      <c r="Y262">
        <v>2</v>
      </c>
      <c r="Z262" s="52">
        <v>3.8181818181818183</v>
      </c>
      <c r="AA262">
        <v>27</v>
      </c>
      <c r="AB262">
        <v>0.93249999999999922</v>
      </c>
      <c r="AC262">
        <v>2</v>
      </c>
      <c r="AD262" s="52">
        <v>4.3277083333333337</v>
      </c>
    </row>
    <row r="263" spans="1:30" x14ac:dyDescent="0.25">
      <c r="B263" s="49">
        <f t="shared" si="23"/>
        <v>11.966666666666667</v>
      </c>
      <c r="C263" s="8">
        <v>126</v>
      </c>
      <c r="D263" s="8">
        <v>2</v>
      </c>
      <c r="E263" s="8">
        <v>1.3</v>
      </c>
      <c r="W263">
        <v>21</v>
      </c>
      <c r="X263">
        <v>2</v>
      </c>
      <c r="Y263">
        <v>2</v>
      </c>
      <c r="Z263" s="52">
        <v>3.916666666666667</v>
      </c>
    </row>
    <row r="264" spans="1:30" x14ac:dyDescent="0.25">
      <c r="B264" s="49">
        <f t="shared" si="23"/>
        <v>12.566666666666666</v>
      </c>
      <c r="C264" s="8">
        <v>132</v>
      </c>
      <c r="D264" s="8">
        <v>2</v>
      </c>
      <c r="E264" s="8">
        <v>1.4</v>
      </c>
      <c r="W264">
        <v>22</v>
      </c>
      <c r="X264" s="52">
        <v>2</v>
      </c>
      <c r="Y264">
        <v>2</v>
      </c>
      <c r="Z264" s="52">
        <v>4</v>
      </c>
    </row>
    <row r="265" spans="1:30" x14ac:dyDescent="0.25">
      <c r="B265" s="49">
        <f t="shared" si="23"/>
        <v>13.066666666666666</v>
      </c>
      <c r="C265" s="8">
        <v>138</v>
      </c>
      <c r="D265" s="8">
        <v>2</v>
      </c>
      <c r="E265" s="8">
        <v>1.4</v>
      </c>
      <c r="W265">
        <v>23</v>
      </c>
      <c r="X265">
        <v>5.6499999999999986</v>
      </c>
      <c r="Y265">
        <v>2</v>
      </c>
      <c r="Z265" s="52">
        <v>4.3874999999999993</v>
      </c>
      <c r="AA265">
        <v>30</v>
      </c>
      <c r="AB265">
        <v>2.1499999999999986</v>
      </c>
      <c r="AC265">
        <v>2</v>
      </c>
      <c r="AD265" s="52">
        <v>4.6791666666666671</v>
      </c>
    </row>
    <row r="266" spans="1:30" x14ac:dyDescent="0.25">
      <c r="B266" s="49">
        <f t="shared" si="23"/>
        <v>13.666666666666666</v>
      </c>
      <c r="C266" s="8">
        <v>144</v>
      </c>
      <c r="D266" s="8">
        <v>2</v>
      </c>
      <c r="E266" s="8">
        <v>1.5</v>
      </c>
      <c r="W266">
        <v>24</v>
      </c>
      <c r="X266" s="52">
        <v>2.1818181818181817</v>
      </c>
      <c r="Y266">
        <v>2</v>
      </c>
      <c r="Z266" s="52">
        <v>4.1818181818181817</v>
      </c>
      <c r="AA266">
        <v>30</v>
      </c>
      <c r="AB266">
        <v>1.0749999999999993</v>
      </c>
      <c r="AC266">
        <v>2</v>
      </c>
      <c r="AD266" s="52">
        <v>4.5895833333333336</v>
      </c>
    </row>
    <row r="267" spans="1:30" x14ac:dyDescent="0.25">
      <c r="W267">
        <v>27</v>
      </c>
      <c r="X267">
        <v>2</v>
      </c>
      <c r="Y267">
        <v>2</v>
      </c>
      <c r="Z267" s="52">
        <v>4.4166666666666661</v>
      </c>
      <c r="AA267">
        <v>30</v>
      </c>
      <c r="AB267">
        <v>2.75</v>
      </c>
      <c r="AC267">
        <v>2.2000000000000002</v>
      </c>
      <c r="AD267" s="52">
        <v>4.9291666666666671</v>
      </c>
    </row>
    <row r="268" spans="1:30" x14ac:dyDescent="0.25">
      <c r="W268">
        <v>28</v>
      </c>
      <c r="X268" s="52">
        <v>2.5454545454545454</v>
      </c>
      <c r="Y268">
        <v>2</v>
      </c>
      <c r="Z268" s="52">
        <v>4.545454545454545</v>
      </c>
    </row>
    <row r="269" spans="1:30" x14ac:dyDescent="0.25">
      <c r="A269" s="48">
        <v>8</v>
      </c>
      <c r="B269" s="47" t="s">
        <v>81</v>
      </c>
      <c r="W269">
        <v>30</v>
      </c>
      <c r="X269">
        <v>2.25</v>
      </c>
      <c r="Y269">
        <v>2</v>
      </c>
      <c r="Z269" s="52">
        <v>4.6875</v>
      </c>
      <c r="AA269">
        <v>33</v>
      </c>
      <c r="AB269">
        <v>2.5500000000000007</v>
      </c>
      <c r="AC269">
        <v>2</v>
      </c>
      <c r="AD269" s="52">
        <v>4.9625000000000004</v>
      </c>
    </row>
    <row r="270" spans="1:30" x14ac:dyDescent="0.25">
      <c r="W270">
        <v>32</v>
      </c>
      <c r="X270" s="52">
        <v>2.9090909090909092</v>
      </c>
      <c r="Y270">
        <v>2</v>
      </c>
      <c r="Z270" s="52">
        <v>4.9090909090909083</v>
      </c>
    </row>
    <row r="271" spans="1:30" x14ac:dyDescent="0.25">
      <c r="B271" s="8" t="s">
        <v>62</v>
      </c>
      <c r="C271" s="8"/>
      <c r="D271" s="8" t="s">
        <v>60</v>
      </c>
      <c r="E271" s="8" t="s">
        <v>61</v>
      </c>
      <c r="W271">
        <v>33</v>
      </c>
      <c r="X271">
        <v>2.5500000000000007</v>
      </c>
      <c r="Y271">
        <v>2</v>
      </c>
      <c r="Z271" s="52">
        <v>4.9625000000000004</v>
      </c>
    </row>
    <row r="272" spans="1:30" x14ac:dyDescent="0.25">
      <c r="B272" s="8" t="s">
        <v>66</v>
      </c>
      <c r="C272" s="8" t="s">
        <v>63</v>
      </c>
      <c r="D272" s="8" t="s">
        <v>64</v>
      </c>
      <c r="E272" s="8" t="s">
        <v>65</v>
      </c>
      <c r="W272">
        <v>34</v>
      </c>
      <c r="X272" s="52">
        <v>3.0909090909090908</v>
      </c>
      <c r="Y272">
        <v>2</v>
      </c>
      <c r="Z272" s="52">
        <v>5.0909090909090917</v>
      </c>
      <c r="AA272">
        <v>36</v>
      </c>
      <c r="AB272">
        <v>2.5</v>
      </c>
      <c r="AC272">
        <v>2</v>
      </c>
      <c r="AD272" s="52">
        <v>5.2083333333333339</v>
      </c>
    </row>
    <row r="273" spans="2:30" x14ac:dyDescent="0.25">
      <c r="B273" s="11" t="s">
        <v>53</v>
      </c>
      <c r="C273" s="11" t="s">
        <v>48</v>
      </c>
      <c r="D273" s="11" t="s">
        <v>48</v>
      </c>
      <c r="E273" s="11" t="s">
        <v>53</v>
      </c>
      <c r="W273">
        <v>36</v>
      </c>
      <c r="X273">
        <v>2.5500000000000007</v>
      </c>
      <c r="Y273">
        <v>2</v>
      </c>
      <c r="Z273" s="52">
        <v>5.2125000000000004</v>
      </c>
    </row>
    <row r="274" spans="2:30" x14ac:dyDescent="0.25">
      <c r="W274">
        <v>42</v>
      </c>
      <c r="X274" s="52">
        <v>3.8181818181818183</v>
      </c>
      <c r="Y274">
        <v>2</v>
      </c>
      <c r="Z274" s="52">
        <v>5.8181818181818183</v>
      </c>
      <c r="AA274">
        <v>36</v>
      </c>
      <c r="AB274">
        <v>2.5500000000000007</v>
      </c>
      <c r="AC274">
        <v>2</v>
      </c>
      <c r="AD274" s="52">
        <v>5.2125000000000004</v>
      </c>
    </row>
    <row r="275" spans="2:30" x14ac:dyDescent="0.25">
      <c r="B275" s="8">
        <v>0</v>
      </c>
      <c r="C275" s="8" t="s">
        <v>67</v>
      </c>
      <c r="W275">
        <v>48</v>
      </c>
      <c r="X275">
        <v>3.25</v>
      </c>
      <c r="Y275">
        <v>2</v>
      </c>
      <c r="Z275" s="52">
        <v>6.270833333333333</v>
      </c>
      <c r="AA275">
        <v>36</v>
      </c>
      <c r="AB275">
        <v>1.370000000000001</v>
      </c>
      <c r="AC275">
        <v>2</v>
      </c>
      <c r="AD275" s="52">
        <v>5.1141666666666676</v>
      </c>
    </row>
    <row r="276" spans="2:30" x14ac:dyDescent="0.25">
      <c r="B276" s="49">
        <f t="shared" ref="B276:B287" si="24">(C276+D276)/12+E276</f>
        <v>5.166666666666667</v>
      </c>
      <c r="C276" s="8">
        <v>48</v>
      </c>
      <c r="D276" s="8">
        <v>2</v>
      </c>
      <c r="E276" s="8">
        <v>1</v>
      </c>
      <c r="W276">
        <v>60</v>
      </c>
      <c r="X276">
        <v>3.5499999999999972</v>
      </c>
      <c r="Y276">
        <v>4.3</v>
      </c>
      <c r="Z276" s="52">
        <v>9.5958333333333332</v>
      </c>
      <c r="AA276">
        <v>36</v>
      </c>
      <c r="AB276">
        <v>2.75</v>
      </c>
      <c r="AC276">
        <v>2.6</v>
      </c>
      <c r="AD276" s="52">
        <v>5.8291666666666666</v>
      </c>
    </row>
    <row r="277" spans="2:30" x14ac:dyDescent="0.25">
      <c r="B277" s="49">
        <f t="shared" si="24"/>
        <v>5.666666666666667</v>
      </c>
      <c r="C277" s="8">
        <v>54</v>
      </c>
      <c r="D277" s="8">
        <v>2</v>
      </c>
      <c r="E277" s="8">
        <v>1</v>
      </c>
      <c r="AA277">
        <v>42</v>
      </c>
      <c r="AB277">
        <v>2.75</v>
      </c>
      <c r="AC277">
        <v>2</v>
      </c>
      <c r="AD277" s="52">
        <v>5.7291666666666661</v>
      </c>
    </row>
    <row r="278" spans="2:30" x14ac:dyDescent="0.25">
      <c r="B278" s="49">
        <f t="shared" si="24"/>
        <v>6.166666666666667</v>
      </c>
      <c r="C278" s="8">
        <v>60</v>
      </c>
      <c r="D278" s="8">
        <v>2</v>
      </c>
      <c r="E278" s="8">
        <v>1</v>
      </c>
    </row>
    <row r="279" spans="2:30" x14ac:dyDescent="0.25">
      <c r="B279" s="49">
        <f t="shared" si="24"/>
        <v>6.666666666666667</v>
      </c>
      <c r="C279" s="8">
        <v>66</v>
      </c>
      <c r="D279" s="8">
        <v>2</v>
      </c>
      <c r="E279" s="8">
        <v>1</v>
      </c>
      <c r="AA279">
        <v>42</v>
      </c>
      <c r="AB279">
        <v>3</v>
      </c>
      <c r="AC279">
        <v>2</v>
      </c>
      <c r="AD279" s="52">
        <v>5.75</v>
      </c>
    </row>
    <row r="280" spans="2:30" x14ac:dyDescent="0.25">
      <c r="B280" s="49">
        <f t="shared" si="24"/>
        <v>7.166666666666667</v>
      </c>
      <c r="C280" s="8">
        <v>72</v>
      </c>
      <c r="D280" s="8">
        <v>2</v>
      </c>
      <c r="E280" s="8">
        <v>1</v>
      </c>
      <c r="AA280">
        <v>42</v>
      </c>
      <c r="AB280">
        <v>2.5</v>
      </c>
      <c r="AC280">
        <v>3.1</v>
      </c>
      <c r="AD280" s="52">
        <v>6.8083333333333336</v>
      </c>
    </row>
    <row r="281" spans="2:30" x14ac:dyDescent="0.25">
      <c r="B281" s="49">
        <f t="shared" si="24"/>
        <v>7.666666666666667</v>
      </c>
      <c r="C281" s="8">
        <v>78</v>
      </c>
      <c r="D281" s="8">
        <v>2</v>
      </c>
      <c r="E281" s="8">
        <v>1</v>
      </c>
    </row>
    <row r="282" spans="2:30" x14ac:dyDescent="0.25">
      <c r="B282" s="49">
        <f t="shared" si="24"/>
        <v>8.1666666666666679</v>
      </c>
      <c r="C282" s="8">
        <v>84</v>
      </c>
      <c r="D282" s="8">
        <v>2</v>
      </c>
      <c r="E282" s="8">
        <v>1</v>
      </c>
      <c r="AA282">
        <v>48</v>
      </c>
      <c r="AB282">
        <v>3.1000000000000014</v>
      </c>
      <c r="AC282">
        <v>2</v>
      </c>
      <c r="AD282" s="52">
        <v>6.2583333333333337</v>
      </c>
    </row>
    <row r="283" spans="2:30" x14ac:dyDescent="0.25">
      <c r="B283" s="49">
        <f t="shared" si="24"/>
        <v>8.6666666666666679</v>
      </c>
      <c r="C283" s="8">
        <v>90</v>
      </c>
      <c r="D283" s="8">
        <v>2</v>
      </c>
      <c r="E283" s="8">
        <v>1</v>
      </c>
      <c r="AA283">
        <v>48</v>
      </c>
      <c r="AB283">
        <v>3.0500000000000007</v>
      </c>
      <c r="AC283">
        <v>3.5</v>
      </c>
      <c r="AD283" s="52">
        <v>7.7541666666666664</v>
      </c>
    </row>
    <row r="284" spans="2:30" x14ac:dyDescent="0.25">
      <c r="B284" s="49">
        <f t="shared" si="24"/>
        <v>9.1666666666666661</v>
      </c>
      <c r="C284" s="8">
        <v>96</v>
      </c>
      <c r="D284" s="8">
        <v>2</v>
      </c>
      <c r="E284" s="8">
        <v>1</v>
      </c>
    </row>
    <row r="285" spans="2:30" x14ac:dyDescent="0.25">
      <c r="B285" s="49">
        <f t="shared" si="24"/>
        <v>9.7666666666666657</v>
      </c>
      <c r="C285" s="8">
        <v>102</v>
      </c>
      <c r="D285" s="8">
        <v>2</v>
      </c>
      <c r="E285" s="8">
        <v>1.1000000000000001</v>
      </c>
    </row>
    <row r="286" spans="2:30" x14ac:dyDescent="0.25">
      <c r="B286" s="49">
        <f t="shared" si="24"/>
        <v>10.266666666666666</v>
      </c>
      <c r="C286" s="8">
        <v>108</v>
      </c>
      <c r="D286" s="8">
        <v>2</v>
      </c>
      <c r="E286" s="8">
        <v>1.1000000000000001</v>
      </c>
    </row>
    <row r="287" spans="2:30" x14ac:dyDescent="0.25">
      <c r="B287" s="49">
        <f t="shared" si="24"/>
        <v>10.866666666666665</v>
      </c>
      <c r="C287" s="8">
        <v>114</v>
      </c>
      <c r="D287" s="8">
        <v>2</v>
      </c>
      <c r="E287" s="8">
        <v>1.2</v>
      </c>
    </row>
    <row r="290" spans="1:5" x14ac:dyDescent="0.25">
      <c r="A290" s="48">
        <v>9</v>
      </c>
      <c r="B290" s="47" t="s">
        <v>82</v>
      </c>
    </row>
    <row r="292" spans="1:5" x14ac:dyDescent="0.25">
      <c r="B292" s="8" t="s">
        <v>62</v>
      </c>
      <c r="C292" s="8"/>
      <c r="D292" s="8" t="s">
        <v>60</v>
      </c>
      <c r="E292" s="8" t="s">
        <v>61</v>
      </c>
    </row>
    <row r="293" spans="1:5" x14ac:dyDescent="0.25">
      <c r="B293" s="8" t="s">
        <v>66</v>
      </c>
      <c r="C293" s="8" t="s">
        <v>63</v>
      </c>
      <c r="D293" s="8" t="s">
        <v>64</v>
      </c>
      <c r="E293" s="8" t="s">
        <v>65</v>
      </c>
    </row>
    <row r="294" spans="1:5" x14ac:dyDescent="0.25">
      <c r="B294" s="11" t="s">
        <v>53</v>
      </c>
      <c r="C294" s="11" t="s">
        <v>48</v>
      </c>
      <c r="D294" s="11" t="s">
        <v>48</v>
      </c>
      <c r="E294" s="11" t="s">
        <v>53</v>
      </c>
    </row>
    <row r="296" spans="1:5" x14ac:dyDescent="0.25">
      <c r="B296" s="8">
        <v>0</v>
      </c>
      <c r="C296" s="8" t="s">
        <v>67</v>
      </c>
    </row>
    <row r="297" spans="1:5" x14ac:dyDescent="0.25">
      <c r="B297" s="49">
        <f t="shared" ref="B297:B308" si="25">(C297+D297)/12+E297</f>
        <v>5.166666666666667</v>
      </c>
      <c r="C297" s="8">
        <v>48</v>
      </c>
      <c r="D297" s="8">
        <v>2</v>
      </c>
      <c r="E297" s="8">
        <v>1</v>
      </c>
    </row>
    <row r="298" spans="1:5" x14ac:dyDescent="0.25">
      <c r="B298" s="49">
        <f t="shared" si="25"/>
        <v>5.666666666666667</v>
      </c>
      <c r="C298" s="8">
        <v>54</v>
      </c>
      <c r="D298" s="8">
        <v>2</v>
      </c>
      <c r="E298" s="8">
        <v>1</v>
      </c>
    </row>
    <row r="299" spans="1:5" x14ac:dyDescent="0.25">
      <c r="B299" s="49">
        <f t="shared" si="25"/>
        <v>6.166666666666667</v>
      </c>
      <c r="C299" s="8">
        <v>60</v>
      </c>
      <c r="D299" s="8">
        <v>2</v>
      </c>
      <c r="E299" s="8">
        <v>1</v>
      </c>
    </row>
    <row r="300" spans="1:5" x14ac:dyDescent="0.25">
      <c r="B300" s="49">
        <f t="shared" si="25"/>
        <v>6.666666666666667</v>
      </c>
      <c r="C300" s="8">
        <v>66</v>
      </c>
      <c r="D300" s="8">
        <v>2</v>
      </c>
      <c r="E300" s="8">
        <v>1</v>
      </c>
    </row>
    <row r="301" spans="1:5" x14ac:dyDescent="0.25">
      <c r="B301" s="49">
        <f t="shared" si="25"/>
        <v>7.166666666666667</v>
      </c>
      <c r="C301" s="8">
        <v>72</v>
      </c>
      <c r="D301" s="8">
        <v>2</v>
      </c>
      <c r="E301" s="8">
        <v>1</v>
      </c>
    </row>
    <row r="302" spans="1:5" x14ac:dyDescent="0.25">
      <c r="B302" s="49">
        <f t="shared" si="25"/>
        <v>7.666666666666667</v>
      </c>
      <c r="C302" s="8">
        <v>78</v>
      </c>
      <c r="D302" s="8">
        <v>2</v>
      </c>
      <c r="E302" s="8">
        <v>1</v>
      </c>
    </row>
    <row r="303" spans="1:5" x14ac:dyDescent="0.25">
      <c r="B303" s="49">
        <f t="shared" si="25"/>
        <v>8.1666666666666679</v>
      </c>
      <c r="C303" s="8">
        <v>84</v>
      </c>
      <c r="D303" s="8">
        <v>2</v>
      </c>
      <c r="E303" s="8">
        <v>1</v>
      </c>
    </row>
    <row r="304" spans="1:5" x14ac:dyDescent="0.25">
      <c r="B304" s="49">
        <f t="shared" si="25"/>
        <v>8.6666666666666679</v>
      </c>
      <c r="C304" s="8">
        <v>90</v>
      </c>
      <c r="D304" s="8">
        <v>2</v>
      </c>
      <c r="E304" s="8">
        <v>1</v>
      </c>
    </row>
    <row r="305" spans="1:5" x14ac:dyDescent="0.25">
      <c r="B305" s="49">
        <f t="shared" si="25"/>
        <v>9.1666666666666661</v>
      </c>
      <c r="C305" s="8">
        <v>96</v>
      </c>
      <c r="D305" s="8">
        <v>2</v>
      </c>
      <c r="E305" s="8">
        <v>1</v>
      </c>
    </row>
    <row r="306" spans="1:5" x14ac:dyDescent="0.25">
      <c r="B306" s="49">
        <f t="shared" si="25"/>
        <v>9.7666666666666657</v>
      </c>
      <c r="C306" s="8">
        <v>102</v>
      </c>
      <c r="D306" s="8">
        <v>2</v>
      </c>
      <c r="E306" s="8">
        <v>1.1000000000000001</v>
      </c>
    </row>
    <row r="307" spans="1:5" x14ac:dyDescent="0.25">
      <c r="B307" s="49">
        <f t="shared" si="25"/>
        <v>10.266666666666666</v>
      </c>
      <c r="C307" s="8">
        <v>108</v>
      </c>
      <c r="D307" s="8">
        <v>2</v>
      </c>
      <c r="E307" s="8">
        <v>1.1000000000000001</v>
      </c>
    </row>
    <row r="308" spans="1:5" x14ac:dyDescent="0.25">
      <c r="B308" s="49">
        <f t="shared" si="25"/>
        <v>10.866666666666665</v>
      </c>
      <c r="C308" s="8">
        <v>114</v>
      </c>
      <c r="D308" s="8">
        <v>2</v>
      </c>
      <c r="E308" s="8">
        <v>1.2</v>
      </c>
    </row>
    <row r="311" spans="1:5" x14ac:dyDescent="0.25">
      <c r="A311" s="53">
        <v>16</v>
      </c>
      <c r="B311" s="47" t="s">
        <v>83</v>
      </c>
    </row>
    <row r="313" spans="1:5" x14ac:dyDescent="0.25">
      <c r="B313" s="8" t="s">
        <v>62</v>
      </c>
      <c r="C313" s="8"/>
      <c r="D313" s="8" t="s">
        <v>60</v>
      </c>
      <c r="E313" s="8" t="s">
        <v>61</v>
      </c>
    </row>
    <row r="314" spans="1:5" x14ac:dyDescent="0.25">
      <c r="B314" s="8" t="s">
        <v>66</v>
      </c>
      <c r="C314" s="8" t="s">
        <v>63</v>
      </c>
      <c r="D314" s="8" t="s">
        <v>64</v>
      </c>
      <c r="E314" s="8" t="s">
        <v>65</v>
      </c>
    </row>
    <row r="315" spans="1:5" x14ac:dyDescent="0.25">
      <c r="B315" s="11" t="s">
        <v>53</v>
      </c>
      <c r="C315" s="11" t="s">
        <v>48</v>
      </c>
      <c r="D315" s="11" t="s">
        <v>48</v>
      </c>
      <c r="E315" s="11" t="s">
        <v>53</v>
      </c>
    </row>
    <row r="317" spans="1:5" x14ac:dyDescent="0.25">
      <c r="B317" s="8">
        <v>0</v>
      </c>
      <c r="C317" s="8" t="s">
        <v>67</v>
      </c>
    </row>
    <row r="318" spans="1:5" x14ac:dyDescent="0.25">
      <c r="B318" s="49">
        <f t="shared" ref="B318:B336" si="26">(C318+D318)/12+E318</f>
        <v>4.1666666666666661</v>
      </c>
      <c r="C318" s="8">
        <v>36</v>
      </c>
      <c r="D318" s="8">
        <v>2</v>
      </c>
      <c r="E318" s="8">
        <v>1</v>
      </c>
    </row>
    <row r="319" spans="1:5" x14ac:dyDescent="0.25">
      <c r="B319" s="49">
        <f t="shared" si="26"/>
        <v>4.6666666666666661</v>
      </c>
      <c r="C319" s="8">
        <v>42</v>
      </c>
      <c r="D319" s="8">
        <v>2</v>
      </c>
      <c r="E319" s="8">
        <v>1</v>
      </c>
    </row>
    <row r="320" spans="1:5" x14ac:dyDescent="0.25">
      <c r="B320" s="49">
        <f t="shared" si="26"/>
        <v>5.166666666666667</v>
      </c>
      <c r="C320" s="8">
        <v>48</v>
      </c>
      <c r="D320" s="8">
        <v>2</v>
      </c>
      <c r="E320" s="8">
        <v>1</v>
      </c>
    </row>
    <row r="321" spans="2:5" x14ac:dyDescent="0.25">
      <c r="B321" s="49">
        <f t="shared" si="26"/>
        <v>5.666666666666667</v>
      </c>
      <c r="C321" s="8">
        <v>54</v>
      </c>
      <c r="D321" s="8">
        <v>2</v>
      </c>
      <c r="E321" s="8">
        <v>1</v>
      </c>
    </row>
    <row r="322" spans="2:5" x14ac:dyDescent="0.25">
      <c r="B322" s="49">
        <f t="shared" si="26"/>
        <v>6.166666666666667</v>
      </c>
      <c r="C322" s="8">
        <v>60</v>
      </c>
      <c r="D322" s="8">
        <v>2</v>
      </c>
      <c r="E322" s="8">
        <v>1</v>
      </c>
    </row>
    <row r="323" spans="2:5" x14ac:dyDescent="0.25">
      <c r="B323" s="49">
        <f t="shared" si="26"/>
        <v>6.666666666666667</v>
      </c>
      <c r="C323" s="8">
        <v>66</v>
      </c>
      <c r="D323" s="8">
        <v>2</v>
      </c>
      <c r="E323" s="8">
        <v>1</v>
      </c>
    </row>
    <row r="324" spans="2:5" x14ac:dyDescent="0.25">
      <c r="B324" s="49">
        <f t="shared" si="26"/>
        <v>7.166666666666667</v>
      </c>
      <c r="C324" s="8">
        <v>72</v>
      </c>
      <c r="D324" s="8">
        <v>2</v>
      </c>
      <c r="E324" s="8">
        <v>1</v>
      </c>
    </row>
    <row r="325" spans="2:5" x14ac:dyDescent="0.25">
      <c r="B325" s="49">
        <f t="shared" si="26"/>
        <v>7.666666666666667</v>
      </c>
      <c r="C325" s="8">
        <v>78</v>
      </c>
      <c r="D325" s="8">
        <v>2</v>
      </c>
      <c r="E325" s="8">
        <v>1</v>
      </c>
    </row>
    <row r="326" spans="2:5" x14ac:dyDescent="0.25">
      <c r="B326" s="49">
        <f t="shared" si="26"/>
        <v>8.1666666666666679</v>
      </c>
      <c r="C326" s="8">
        <v>84</v>
      </c>
      <c r="D326" s="8">
        <v>2</v>
      </c>
      <c r="E326" s="8">
        <v>1</v>
      </c>
    </row>
    <row r="327" spans="2:5" x14ac:dyDescent="0.25">
      <c r="B327" s="49">
        <f t="shared" si="26"/>
        <v>8.6666666666666679</v>
      </c>
      <c r="C327" s="8">
        <v>90</v>
      </c>
      <c r="D327" s="8">
        <v>2</v>
      </c>
      <c r="E327" s="8">
        <v>1</v>
      </c>
    </row>
    <row r="328" spans="2:5" x14ac:dyDescent="0.25">
      <c r="B328" s="49">
        <f t="shared" si="26"/>
        <v>9.1666666666666661</v>
      </c>
      <c r="C328" s="8">
        <v>96</v>
      </c>
      <c r="D328" s="8">
        <v>2</v>
      </c>
      <c r="E328" s="8">
        <v>1</v>
      </c>
    </row>
    <row r="329" spans="2:5" x14ac:dyDescent="0.25">
      <c r="B329" s="49">
        <f t="shared" si="26"/>
        <v>9.7666666666666657</v>
      </c>
      <c r="C329" s="8">
        <v>102</v>
      </c>
      <c r="D329" s="8">
        <v>2</v>
      </c>
      <c r="E329" s="8">
        <v>1.1000000000000001</v>
      </c>
    </row>
    <row r="330" spans="2:5" x14ac:dyDescent="0.25">
      <c r="B330" s="49">
        <f t="shared" si="26"/>
        <v>10.266666666666666</v>
      </c>
      <c r="C330" s="8">
        <v>108</v>
      </c>
      <c r="D330" s="8">
        <v>2</v>
      </c>
      <c r="E330" s="8">
        <v>1.1000000000000001</v>
      </c>
    </row>
    <row r="331" spans="2:5" x14ac:dyDescent="0.25">
      <c r="B331" s="49">
        <f t="shared" si="26"/>
        <v>10.866666666666665</v>
      </c>
      <c r="C331" s="8">
        <v>114</v>
      </c>
      <c r="D331" s="8">
        <v>2</v>
      </c>
      <c r="E331" s="8">
        <v>1.2</v>
      </c>
    </row>
    <row r="332" spans="2:5" x14ac:dyDescent="0.25">
      <c r="B332" s="49">
        <f t="shared" si="26"/>
        <v>11.466666666666667</v>
      </c>
      <c r="C332" s="8">
        <v>120</v>
      </c>
      <c r="D332" s="8">
        <v>2</v>
      </c>
      <c r="E332" s="8">
        <v>1.3</v>
      </c>
    </row>
    <row r="333" spans="2:5" x14ac:dyDescent="0.25">
      <c r="B333" s="49">
        <f t="shared" si="26"/>
        <v>11.966666666666667</v>
      </c>
      <c r="C333" s="8">
        <v>126</v>
      </c>
      <c r="D333" s="8">
        <v>2</v>
      </c>
      <c r="E333" s="8">
        <v>1.3</v>
      </c>
    </row>
    <row r="334" spans="2:5" x14ac:dyDescent="0.25">
      <c r="B334" s="49">
        <f t="shared" si="26"/>
        <v>12.566666666666666</v>
      </c>
      <c r="C334" s="8">
        <v>132</v>
      </c>
      <c r="D334" s="8">
        <v>2</v>
      </c>
      <c r="E334" s="8">
        <v>1.4</v>
      </c>
    </row>
    <row r="335" spans="2:5" x14ac:dyDescent="0.25">
      <c r="B335" s="49">
        <f t="shared" si="26"/>
        <v>13.066666666666666</v>
      </c>
      <c r="C335" s="8">
        <v>138</v>
      </c>
      <c r="D335" s="8">
        <v>2</v>
      </c>
      <c r="E335" s="8">
        <v>1.4</v>
      </c>
    </row>
    <row r="336" spans="2:5" x14ac:dyDescent="0.25">
      <c r="B336" s="49">
        <f t="shared" si="26"/>
        <v>13.666666666666666</v>
      </c>
      <c r="C336" s="8">
        <v>144</v>
      </c>
      <c r="D336" s="8">
        <v>2</v>
      </c>
      <c r="E336" s="8">
        <v>1.5</v>
      </c>
    </row>
    <row r="375" spans="6:6" x14ac:dyDescent="0.25">
      <c r="F375" s="52"/>
    </row>
    <row r="376" spans="6:6" x14ac:dyDescent="0.25">
      <c r="F376" s="52"/>
    </row>
    <row r="377" spans="6:6" x14ac:dyDescent="0.25">
      <c r="F377" s="52"/>
    </row>
    <row r="378" spans="6:6" x14ac:dyDescent="0.25">
      <c r="F378" s="52"/>
    </row>
    <row r="379" spans="6:6" x14ac:dyDescent="0.25">
      <c r="F379" s="52"/>
    </row>
    <row r="380" spans="6:6" x14ac:dyDescent="0.25">
      <c r="F380" s="52"/>
    </row>
    <row r="381" spans="6:6" x14ac:dyDescent="0.25">
      <c r="F381" s="52"/>
    </row>
    <row r="382" spans="6:6" x14ac:dyDescent="0.25">
      <c r="F382" s="52"/>
    </row>
    <row r="383" spans="6:6" x14ac:dyDescent="0.25">
      <c r="F383" s="52"/>
    </row>
    <row r="384" spans="6:6" x14ac:dyDescent="0.25">
      <c r="F384" s="52"/>
    </row>
    <row r="385" spans="6:6" x14ac:dyDescent="0.25">
      <c r="F385" s="52"/>
    </row>
    <row r="386" spans="6:6" x14ac:dyDescent="0.25">
      <c r="F386" s="52"/>
    </row>
    <row r="387" spans="6:6" x14ac:dyDescent="0.25">
      <c r="F387" s="52"/>
    </row>
    <row r="388" spans="6:6" x14ac:dyDescent="0.25">
      <c r="F388" s="52"/>
    </row>
    <row r="389" spans="6:6" x14ac:dyDescent="0.25">
      <c r="F389" s="52"/>
    </row>
    <row r="390" spans="6:6" x14ac:dyDescent="0.25">
      <c r="F390" s="52"/>
    </row>
    <row r="391" spans="6:6" x14ac:dyDescent="0.25">
      <c r="F391" s="52"/>
    </row>
    <row r="392" spans="6:6" x14ac:dyDescent="0.25">
      <c r="F392" s="52"/>
    </row>
    <row r="393" spans="6:6" x14ac:dyDescent="0.25">
      <c r="F393" s="52"/>
    </row>
    <row r="394" spans="6:6" x14ac:dyDescent="0.25">
      <c r="F394" s="52"/>
    </row>
    <row r="395" spans="6:6" x14ac:dyDescent="0.25">
      <c r="F395" s="52"/>
    </row>
    <row r="396" spans="6:6" x14ac:dyDescent="0.25">
      <c r="F396" s="52"/>
    </row>
    <row r="397" spans="6:6" x14ac:dyDescent="0.25">
      <c r="F397" s="52"/>
    </row>
    <row r="398" spans="6:6" x14ac:dyDescent="0.25">
      <c r="F398" s="52"/>
    </row>
    <row r="399" spans="6:6" x14ac:dyDescent="0.25">
      <c r="F399" s="52"/>
    </row>
    <row r="400" spans="6:6" x14ac:dyDescent="0.25">
      <c r="F400" s="52"/>
    </row>
    <row r="401" spans="6:6" x14ac:dyDescent="0.25">
      <c r="F401" s="52"/>
    </row>
    <row r="402" spans="6:6" x14ac:dyDescent="0.25">
      <c r="F402" s="52"/>
    </row>
    <row r="403" spans="6:6" x14ac:dyDescent="0.25">
      <c r="F403" s="52"/>
    </row>
    <row r="404" spans="6:6" x14ac:dyDescent="0.25">
      <c r="F404" s="52"/>
    </row>
    <row r="405" spans="6:6" x14ac:dyDescent="0.25">
      <c r="F405" s="52"/>
    </row>
    <row r="406" spans="6:6" x14ac:dyDescent="0.25">
      <c r="F406" s="52"/>
    </row>
    <row r="407" spans="6:6" x14ac:dyDescent="0.25">
      <c r="F407" s="52"/>
    </row>
    <row r="408" spans="6:6" x14ac:dyDescent="0.25">
      <c r="F408" s="52"/>
    </row>
    <row r="409" spans="6:6" x14ac:dyDescent="0.25">
      <c r="F409" s="52"/>
    </row>
    <row r="410" spans="6:6" x14ac:dyDescent="0.25">
      <c r="F410" s="52"/>
    </row>
    <row r="411" spans="6:6" x14ac:dyDescent="0.25">
      <c r="F411" s="52"/>
    </row>
    <row r="412" spans="6:6" x14ac:dyDescent="0.25">
      <c r="F412" s="52"/>
    </row>
    <row r="413" spans="6:6" x14ac:dyDescent="0.25">
      <c r="F413" s="52"/>
    </row>
    <row r="414" spans="6:6" x14ac:dyDescent="0.25">
      <c r="F414" s="52"/>
    </row>
    <row r="415" spans="6:6" x14ac:dyDescent="0.25">
      <c r="F415" s="52"/>
    </row>
    <row r="416" spans="6:6" x14ac:dyDescent="0.25">
      <c r="F416" s="52"/>
    </row>
    <row r="417" spans="6:6" x14ac:dyDescent="0.25">
      <c r="F417" s="52"/>
    </row>
    <row r="418" spans="6:6" x14ac:dyDescent="0.25">
      <c r="F418" s="52"/>
    </row>
    <row r="419" spans="6:6" x14ac:dyDescent="0.25">
      <c r="F419" s="52"/>
    </row>
    <row r="420" spans="6:6" x14ac:dyDescent="0.25">
      <c r="F420" s="52"/>
    </row>
    <row r="421" spans="6:6" x14ac:dyDescent="0.25">
      <c r="F421" s="52"/>
    </row>
    <row r="422" spans="6:6" x14ac:dyDescent="0.25">
      <c r="F422" s="52"/>
    </row>
    <row r="423" spans="6:6" x14ac:dyDescent="0.25">
      <c r="F423" s="52"/>
    </row>
    <row r="424" spans="6:6" x14ac:dyDescent="0.25">
      <c r="F424" s="52"/>
    </row>
    <row r="425" spans="6:6" x14ac:dyDescent="0.25">
      <c r="F425" s="52"/>
    </row>
    <row r="426" spans="6:6" x14ac:dyDescent="0.25">
      <c r="F426" s="52"/>
    </row>
    <row r="427" spans="6:6" x14ac:dyDescent="0.25">
      <c r="F427" s="52"/>
    </row>
    <row r="428" spans="6:6" x14ac:dyDescent="0.25">
      <c r="F428" s="52"/>
    </row>
    <row r="429" spans="6:6" x14ac:dyDescent="0.25">
      <c r="F429" s="52"/>
    </row>
    <row r="430" spans="6:6" x14ac:dyDescent="0.25">
      <c r="F430" s="52"/>
    </row>
    <row r="431" spans="6:6" x14ac:dyDescent="0.25">
      <c r="F431" s="52"/>
    </row>
    <row r="432" spans="6:6" x14ac:dyDescent="0.25">
      <c r="F432" s="52"/>
    </row>
    <row r="433" spans="6:6" x14ac:dyDescent="0.25">
      <c r="F433" s="52"/>
    </row>
    <row r="434" spans="6:6" x14ac:dyDescent="0.25">
      <c r="F434" s="52"/>
    </row>
    <row r="435" spans="6:6" x14ac:dyDescent="0.25">
      <c r="F435" s="52"/>
    </row>
    <row r="436" spans="6:6" x14ac:dyDescent="0.25">
      <c r="F436" s="52"/>
    </row>
    <row r="437" spans="6:6" x14ac:dyDescent="0.25">
      <c r="F437" s="52"/>
    </row>
    <row r="438" spans="6:6" x14ac:dyDescent="0.25">
      <c r="F438" s="52"/>
    </row>
    <row r="439" spans="6:6" x14ac:dyDescent="0.25">
      <c r="F439" s="52"/>
    </row>
    <row r="440" spans="6:6" x14ac:dyDescent="0.25">
      <c r="F440" s="52"/>
    </row>
    <row r="441" spans="6:6" x14ac:dyDescent="0.25">
      <c r="F441" s="52"/>
    </row>
    <row r="442" spans="6:6" x14ac:dyDescent="0.25">
      <c r="F442" s="52"/>
    </row>
    <row r="443" spans="6:6" x14ac:dyDescent="0.25">
      <c r="F443" s="52"/>
    </row>
    <row r="444" spans="6:6" x14ac:dyDescent="0.25">
      <c r="F444" s="52"/>
    </row>
    <row r="445" spans="6:6" x14ac:dyDescent="0.25">
      <c r="F445" s="52"/>
    </row>
    <row r="446" spans="6:6" x14ac:dyDescent="0.25">
      <c r="F446" s="52"/>
    </row>
    <row r="447" spans="6:6" x14ac:dyDescent="0.25">
      <c r="F447" s="52"/>
    </row>
    <row r="448" spans="6:6" x14ac:dyDescent="0.25">
      <c r="F448" s="52"/>
    </row>
    <row r="449" spans="6:6" x14ac:dyDescent="0.25">
      <c r="F449" s="52"/>
    </row>
    <row r="450" spans="6:6" x14ac:dyDescent="0.25">
      <c r="F450" s="52"/>
    </row>
    <row r="451" spans="6:6" x14ac:dyDescent="0.25">
      <c r="F451" s="52"/>
    </row>
    <row r="452" spans="6:6" x14ac:dyDescent="0.25">
      <c r="F452" s="52"/>
    </row>
    <row r="453" spans="6:6" x14ac:dyDescent="0.25">
      <c r="F453" s="52"/>
    </row>
    <row r="454" spans="6:6" x14ac:dyDescent="0.25">
      <c r="F454" s="52"/>
    </row>
    <row r="455" spans="6:6" x14ac:dyDescent="0.25">
      <c r="F455" s="52"/>
    </row>
    <row r="456" spans="6:6" x14ac:dyDescent="0.25">
      <c r="F456" s="52"/>
    </row>
    <row r="457" spans="6:6" x14ac:dyDescent="0.25">
      <c r="F457" s="52"/>
    </row>
    <row r="458" spans="6:6" x14ac:dyDescent="0.25">
      <c r="F458" s="52"/>
    </row>
    <row r="459" spans="6:6" x14ac:dyDescent="0.25">
      <c r="F459" s="52"/>
    </row>
    <row r="460" spans="6:6" x14ac:dyDescent="0.25">
      <c r="F460" s="52"/>
    </row>
    <row r="461" spans="6:6" x14ac:dyDescent="0.25">
      <c r="F461" s="52"/>
    </row>
    <row r="462" spans="6:6" x14ac:dyDescent="0.25">
      <c r="F462" s="52"/>
    </row>
    <row r="463" spans="6:6" x14ac:dyDescent="0.25">
      <c r="F463" s="52"/>
    </row>
    <row r="464" spans="6:6" x14ac:dyDescent="0.25">
      <c r="F464" s="52"/>
    </row>
    <row r="465" spans="6:6" x14ac:dyDescent="0.25">
      <c r="F465" s="52"/>
    </row>
    <row r="466" spans="6:6" x14ac:dyDescent="0.25">
      <c r="F466" s="52"/>
    </row>
    <row r="467" spans="6:6" x14ac:dyDescent="0.25">
      <c r="F467" s="52"/>
    </row>
    <row r="468" spans="6:6" x14ac:dyDescent="0.25">
      <c r="F468" s="52"/>
    </row>
    <row r="469" spans="6:6" x14ac:dyDescent="0.25">
      <c r="F469" s="52"/>
    </row>
    <row r="470" spans="6:6" x14ac:dyDescent="0.25">
      <c r="F470" s="52"/>
    </row>
    <row r="471" spans="6:6" x14ac:dyDescent="0.25">
      <c r="F471" s="52"/>
    </row>
    <row r="472" spans="6:6" x14ac:dyDescent="0.25">
      <c r="F472" s="52"/>
    </row>
    <row r="473" spans="6:6" x14ac:dyDescent="0.25">
      <c r="F473" s="52"/>
    </row>
    <row r="474" spans="6:6" x14ac:dyDescent="0.25">
      <c r="F474" s="52"/>
    </row>
    <row r="475" spans="6:6" x14ac:dyDescent="0.25">
      <c r="F475" s="52"/>
    </row>
    <row r="476" spans="6:6" x14ac:dyDescent="0.25">
      <c r="F476" s="52"/>
    </row>
    <row r="477" spans="6:6" x14ac:dyDescent="0.25">
      <c r="F477" s="52"/>
    </row>
    <row r="478" spans="6:6" x14ac:dyDescent="0.25">
      <c r="F478" s="52"/>
    </row>
    <row r="479" spans="6:6" x14ac:dyDescent="0.25">
      <c r="F479" s="52"/>
    </row>
    <row r="480" spans="6:6" x14ac:dyDescent="0.25">
      <c r="F480" s="52"/>
    </row>
    <row r="481" spans="6:6" x14ac:dyDescent="0.25">
      <c r="F481" s="52"/>
    </row>
    <row r="482" spans="6:6" x14ac:dyDescent="0.25">
      <c r="F482" s="52"/>
    </row>
    <row r="483" spans="6:6" x14ac:dyDescent="0.25">
      <c r="F483" s="52"/>
    </row>
    <row r="484" spans="6:6" x14ac:dyDescent="0.25">
      <c r="F484" s="52"/>
    </row>
    <row r="485" spans="6:6" x14ac:dyDescent="0.25">
      <c r="F485" s="52"/>
    </row>
    <row r="486" spans="6:6" x14ac:dyDescent="0.25">
      <c r="F486" s="52"/>
    </row>
    <row r="487" spans="6:6" x14ac:dyDescent="0.25">
      <c r="F487" s="52"/>
    </row>
    <row r="488" spans="6:6" x14ac:dyDescent="0.25">
      <c r="F488" s="52"/>
    </row>
    <row r="489" spans="6:6" x14ac:dyDescent="0.25">
      <c r="F489" s="52"/>
    </row>
    <row r="490" spans="6:6" x14ac:dyDescent="0.25">
      <c r="F490" s="52"/>
    </row>
    <row r="491" spans="6:6" x14ac:dyDescent="0.25">
      <c r="F491" s="52"/>
    </row>
    <row r="492" spans="6:6" x14ac:dyDescent="0.25">
      <c r="F492" s="52"/>
    </row>
    <row r="493" spans="6:6" x14ac:dyDescent="0.25">
      <c r="F493" s="52"/>
    </row>
    <row r="494" spans="6:6" x14ac:dyDescent="0.25">
      <c r="F494" s="52"/>
    </row>
    <row r="495" spans="6:6" x14ac:dyDescent="0.25">
      <c r="F495" s="52"/>
    </row>
    <row r="496" spans="6:6" x14ac:dyDescent="0.25">
      <c r="F496" s="52"/>
    </row>
    <row r="497" spans="6:6" x14ac:dyDescent="0.25">
      <c r="F497" s="52"/>
    </row>
    <row r="498" spans="6:6" x14ac:dyDescent="0.25">
      <c r="F498" s="52"/>
    </row>
    <row r="499" spans="6:6" x14ac:dyDescent="0.25">
      <c r="F499" s="52"/>
    </row>
    <row r="500" spans="6:6" x14ac:dyDescent="0.25">
      <c r="F500" s="52"/>
    </row>
    <row r="501" spans="6:6" x14ac:dyDescent="0.25">
      <c r="F501" s="52"/>
    </row>
    <row r="502" spans="6:6" x14ac:dyDescent="0.25">
      <c r="F502" s="52"/>
    </row>
    <row r="503" spans="6:6" x14ac:dyDescent="0.25">
      <c r="F503" s="52"/>
    </row>
    <row r="504" spans="6:6" x14ac:dyDescent="0.25">
      <c r="F504" s="52"/>
    </row>
    <row r="505" spans="6:6" x14ac:dyDescent="0.25">
      <c r="F505" s="52"/>
    </row>
    <row r="506" spans="6:6" x14ac:dyDescent="0.25">
      <c r="F506" s="52"/>
    </row>
    <row r="507" spans="6:6" x14ac:dyDescent="0.25">
      <c r="F507" s="52"/>
    </row>
    <row r="508" spans="6:6" x14ac:dyDescent="0.25">
      <c r="F508" s="52"/>
    </row>
    <row r="509" spans="6:6" x14ac:dyDescent="0.25">
      <c r="F509" s="52"/>
    </row>
    <row r="510" spans="6:6" x14ac:dyDescent="0.25">
      <c r="F510" s="52"/>
    </row>
    <row r="511" spans="6:6" x14ac:dyDescent="0.25">
      <c r="F511" s="52"/>
    </row>
    <row r="512" spans="6:6" x14ac:dyDescent="0.25">
      <c r="F512" s="52"/>
    </row>
    <row r="513" spans="6:6" x14ac:dyDescent="0.25">
      <c r="F513" s="52"/>
    </row>
    <row r="514" spans="6:6" x14ac:dyDescent="0.25">
      <c r="F514" s="52"/>
    </row>
    <row r="515" spans="6:6" x14ac:dyDescent="0.25">
      <c r="F515" s="52"/>
    </row>
    <row r="516" spans="6:6" x14ac:dyDescent="0.25">
      <c r="F516" s="52"/>
    </row>
    <row r="517" spans="6:6" x14ac:dyDescent="0.25">
      <c r="F517" s="52"/>
    </row>
    <row r="518" spans="6:6" x14ac:dyDescent="0.25">
      <c r="F518" s="52"/>
    </row>
    <row r="519" spans="6:6" x14ac:dyDescent="0.25">
      <c r="F519" s="52"/>
    </row>
    <row r="520" spans="6:6" x14ac:dyDescent="0.25">
      <c r="F520" s="52"/>
    </row>
    <row r="521" spans="6:6" x14ac:dyDescent="0.25">
      <c r="F521" s="52"/>
    </row>
    <row r="522" spans="6:6" x14ac:dyDescent="0.25">
      <c r="F522" s="52"/>
    </row>
    <row r="523" spans="6:6" x14ac:dyDescent="0.25">
      <c r="F523" s="52"/>
    </row>
    <row r="524" spans="6:6" x14ac:dyDescent="0.25">
      <c r="F524" s="52"/>
    </row>
    <row r="525" spans="6:6" x14ac:dyDescent="0.25">
      <c r="F525" s="52"/>
    </row>
    <row r="526" spans="6:6" x14ac:dyDescent="0.25">
      <c r="F526" s="52"/>
    </row>
    <row r="527" spans="6:6" x14ac:dyDescent="0.25">
      <c r="F527" s="52"/>
    </row>
    <row r="528" spans="6:6" x14ac:dyDescent="0.25">
      <c r="F528" s="52"/>
    </row>
    <row r="529" spans="6:6" x14ac:dyDescent="0.25">
      <c r="F529" s="52"/>
    </row>
    <row r="530" spans="6:6" x14ac:dyDescent="0.25">
      <c r="F530" s="52"/>
    </row>
  </sheetData>
  <sortState ref="BL155:BS241">
    <sortCondition ref="BL155"/>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Instructions</vt:lpstr>
      <vt:lpstr>Input_Results</vt:lpstr>
      <vt:lpstr>Detailed Comps</vt:lpstr>
      <vt:lpstr>Tables</vt:lpstr>
      <vt:lpstr>AlBox</vt:lpstr>
      <vt:lpstr>ArchTop</vt:lpstr>
      <vt:lpstr>CMP</vt:lpstr>
      <vt:lpstr>CMPA_Big</vt:lpstr>
      <vt:lpstr>CMPA_Small</vt:lpstr>
      <vt:lpstr>FlatTop</vt:lpstr>
      <vt:lpstr>HERCP</vt:lpstr>
      <vt:lpstr>Plastic</vt:lpstr>
      <vt:lpstr>RCB</vt:lpstr>
      <vt:lpstr>RCP</vt:lpstr>
      <vt:lpstr>SemiSmooth</vt:lpstr>
      <vt:lpstr>Sump</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DFinley</dc:creator>
  <cp:lastModifiedBy>aschwinghamer</cp:lastModifiedBy>
  <cp:lastPrinted>2016-08-29T16:01:15Z</cp:lastPrinted>
  <dcterms:created xsi:type="dcterms:W3CDTF">2016-07-27T11:42:25Z</dcterms:created>
  <dcterms:modified xsi:type="dcterms:W3CDTF">2017-03-10T16:17:53Z</dcterms:modified>
</cp:coreProperties>
</file>