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91" windowWidth="15480" windowHeight="11640" tabRatio="804" activeTab="0"/>
  </bookViews>
  <sheets>
    <sheet name="Data" sheetId="1" r:id="rId1"/>
    <sheet name="MDmetrics" sheetId="2" r:id="rId2"/>
    <sheet name="WVmetrics" sheetId="3" r:id="rId3"/>
    <sheet name="VaMetrics(latest)" sheetId="4" r:id="rId4"/>
    <sheet name="MAIS" sheetId="5" r:id="rId5"/>
  </sheets>
  <definedNames>
    <definedName name="_xlnm.Print_Area" localSheetId="0">'Data'!$A$83:$G$107</definedName>
  </definedNames>
  <calcPr fullCalcOnLoad="1"/>
</workbook>
</file>

<file path=xl/sharedStrings.xml><?xml version="1.0" encoding="utf-8"?>
<sst xmlns="http://schemas.openxmlformats.org/spreadsheetml/2006/main" count="479" uniqueCount="199">
  <si>
    <t>EPT Taxa</t>
  </si>
  <si>
    <t>HBI (Family Level)</t>
  </si>
  <si>
    <t>Taxa Richness</t>
  </si>
  <si>
    <t>EPT Index</t>
  </si>
  <si>
    <t>HBI (modified family)</t>
  </si>
  <si>
    <t>Place abundances in decending order</t>
  </si>
  <si>
    <t>West Virginia Stream Condition Index (SCI)</t>
  </si>
  <si>
    <t>SCI Calculation</t>
  </si>
  <si>
    <t>Final Site SCI</t>
  </si>
  <si>
    <t>Final SCI</t>
  </si>
  <si>
    <t>Rating</t>
  </si>
  <si>
    <t>Common Metrics</t>
  </si>
  <si>
    <t>% P+T - Hydropsychidae</t>
  </si>
  <si>
    <t>% Top 2 Dominant Family</t>
  </si>
  <si>
    <t>Standardized Metric</t>
  </si>
  <si>
    <t>Stream Condition Index (SCI)</t>
  </si>
  <si>
    <t>metric scores, using a maximum</t>
  </si>
  <si>
    <t>metric score of 100 for any metric</t>
  </si>
  <si>
    <t>whose individual score is greater</t>
  </si>
  <si>
    <t>than 100</t>
  </si>
  <si>
    <t>Macroinvertebrate Aggregated Index for Streams (MAIS)</t>
  </si>
  <si>
    <t>Uenoidae</t>
  </si>
  <si>
    <t>Blephariceridae</t>
  </si>
  <si>
    <t>Rhyacophilidae</t>
  </si>
  <si>
    <t>Taeniopterygidae</t>
  </si>
  <si>
    <t>SCI Calculation (100 max.)</t>
  </si>
  <si>
    <t>&gt;80</t>
  </si>
  <si>
    <t>65-80</t>
  </si>
  <si>
    <t>50-64.9</t>
  </si>
  <si>
    <t>&lt;50</t>
  </si>
  <si>
    <t>Optimal</t>
  </si>
  <si>
    <t>Suboptimal</t>
  </si>
  <si>
    <t>Marginal</t>
  </si>
  <si>
    <t>Final Site Narrative</t>
  </si>
  <si>
    <t>% Dominant Taxa</t>
  </si>
  <si>
    <t># Ephemeroptera Taxa</t>
  </si>
  <si>
    <t>% 5 Dominant Taxa</t>
  </si>
  <si>
    <t>SDI</t>
  </si>
  <si>
    <t>Modified HBI</t>
  </si>
  <si>
    <t># Intolerant Taxa</t>
  </si>
  <si>
    <t>% Scrapers</t>
  </si>
  <si>
    <t>MAIS Value</t>
  </si>
  <si>
    <t>Total</t>
  </si>
  <si>
    <t>Biological Condition Category</t>
  </si>
  <si>
    <t xml:space="preserve">Ecoregion 67 Criteria </t>
  </si>
  <si>
    <t>(Ridge and Valley)</t>
  </si>
  <si>
    <t>Standardized Metric (100 max.)</t>
  </si>
  <si>
    <t>average of the 8 standardized</t>
  </si>
  <si>
    <t>Narrative</t>
  </si>
  <si>
    <t>Benthic Index</t>
  </si>
  <si>
    <t>Narrative Rating</t>
  </si>
  <si>
    <t>Score</t>
  </si>
  <si>
    <t>28-35</t>
  </si>
  <si>
    <t>21-27</t>
  </si>
  <si>
    <t>14-20</t>
  </si>
  <si>
    <t>7-13</t>
  </si>
  <si>
    <t>Good</t>
  </si>
  <si>
    <t>Fair</t>
  </si>
  <si>
    <t>Poor</t>
  </si>
  <si>
    <t>Very Poor</t>
  </si>
  <si>
    <t>(&lt;61.3 = Impaired)</t>
  </si>
  <si>
    <t>Rep1</t>
  </si>
  <si>
    <t>Rep2</t>
  </si>
  <si>
    <t>Rep3</t>
  </si>
  <si>
    <t>Rep4</t>
  </si>
  <si>
    <t>Brachycentridae</t>
  </si>
  <si>
    <t>Gyrinidae</t>
  </si>
  <si>
    <t>Glossosomatidae</t>
  </si>
  <si>
    <t>Tanyderidae</t>
  </si>
  <si>
    <t>Caenidae</t>
  </si>
  <si>
    <t>Hydrophilidae</t>
  </si>
  <si>
    <t>Corduliidae</t>
  </si>
  <si>
    <t>Lepidostomatidae</t>
  </si>
  <si>
    <t>Psychomyiidae</t>
  </si>
  <si>
    <t>Virginia Stream Condition Index</t>
  </si>
  <si>
    <t>No. of Intolerant Taxa</t>
  </si>
  <si>
    <t>Rep5</t>
  </si>
  <si>
    <t>Planariidae</t>
  </si>
  <si>
    <t>Asellidae</t>
  </si>
  <si>
    <t>Cambaridae</t>
  </si>
  <si>
    <t>Corbiculidae</t>
  </si>
  <si>
    <t>Pleuroceridae</t>
  </si>
  <si>
    <t>Ancylidae</t>
  </si>
  <si>
    <t>Planorbidae</t>
  </si>
  <si>
    <t>Potamanthidae</t>
  </si>
  <si>
    <t xml:space="preserve">BU </t>
  </si>
  <si>
    <t>Polymitarcyidae</t>
  </si>
  <si>
    <t>Calopterygidae</t>
  </si>
  <si>
    <t>Coenagrionidae</t>
  </si>
  <si>
    <t>Athericidae</t>
  </si>
  <si>
    <t>Empididae</t>
  </si>
  <si>
    <t>Hydracarina</t>
  </si>
  <si>
    <t>Polycentropodidae</t>
  </si>
  <si>
    <t>HEMIPTERA</t>
  </si>
  <si>
    <t>Corixidae</t>
  </si>
  <si>
    <t>DV</t>
  </si>
  <si>
    <t>MP</t>
  </si>
  <si>
    <t>Hydroptilidae</t>
  </si>
  <si>
    <t>Ephemeridae</t>
  </si>
  <si>
    <t>Sphaeridae</t>
  </si>
  <si>
    <t>Gammaridae</t>
  </si>
  <si>
    <t>Baetiscidae</t>
  </si>
  <si>
    <t>Date</t>
  </si>
  <si>
    <t>Peltoperlidae</t>
  </si>
  <si>
    <t>Nemouridae</t>
  </si>
  <si>
    <t>Pteronarcyidae</t>
  </si>
  <si>
    <t>Veliidae</t>
  </si>
  <si>
    <t>SK</t>
  </si>
  <si>
    <t>Dryopidae</t>
  </si>
  <si>
    <t>Ceratopogonidae</t>
  </si>
  <si>
    <t>Muscidae</t>
  </si>
  <si>
    <t>Limnephilidae</t>
  </si>
  <si>
    <t>Taxa</t>
  </si>
  <si>
    <t>Habit</t>
  </si>
  <si>
    <t>Tol</t>
  </si>
  <si>
    <t>FuncGrp</t>
  </si>
  <si>
    <t>OTHER INVERTEBRATES</t>
  </si>
  <si>
    <t>GN</t>
  </si>
  <si>
    <t>SP</t>
  </si>
  <si>
    <t>CG</t>
  </si>
  <si>
    <t>Oligochaeta</t>
  </si>
  <si>
    <t>BU</t>
  </si>
  <si>
    <t>SC</t>
  </si>
  <si>
    <t>CF</t>
  </si>
  <si>
    <t>EPHEMEROPTERA</t>
  </si>
  <si>
    <t>Baetidae</t>
  </si>
  <si>
    <t>Heptegeniidae</t>
  </si>
  <si>
    <t>CR</t>
  </si>
  <si>
    <t>Ephemerellidae</t>
  </si>
  <si>
    <t>Leptophlebiidae</t>
  </si>
  <si>
    <t>Isonychiidae</t>
  </si>
  <si>
    <t>ODONATA</t>
  </si>
  <si>
    <t>Aeshnidae</t>
  </si>
  <si>
    <t>PR</t>
  </si>
  <si>
    <t>CL</t>
  </si>
  <si>
    <t>Gomphidae</t>
  </si>
  <si>
    <t>PLECOPTERA</t>
  </si>
  <si>
    <t>Perlidae</t>
  </si>
  <si>
    <t>SH</t>
  </si>
  <si>
    <t>Perlodidae</t>
  </si>
  <si>
    <t>Leuctridae</t>
  </si>
  <si>
    <t>MEGALOPTERA</t>
  </si>
  <si>
    <t>Corydalidae</t>
  </si>
  <si>
    <t>COLEOPTERA</t>
  </si>
  <si>
    <t>Psephenidae</t>
  </si>
  <si>
    <t>Elmidae</t>
  </si>
  <si>
    <t>TRICHOPTERA</t>
  </si>
  <si>
    <t>Hydropsychidae</t>
  </si>
  <si>
    <t>Philopotamidae</t>
  </si>
  <si>
    <t>DIPTERA</t>
  </si>
  <si>
    <t>Chironomidae</t>
  </si>
  <si>
    <t>Simuliidae</t>
  </si>
  <si>
    <t>Tipulidae</t>
  </si>
  <si>
    <t># Taxa</t>
  </si>
  <si>
    <t>Total Ind.</t>
  </si>
  <si>
    <t>Total Abundance</t>
  </si>
  <si>
    <t>EPT</t>
  </si>
  <si>
    <t>% EPT</t>
  </si>
  <si>
    <t>Total Taxa Richness</t>
  </si>
  <si>
    <t>Simpson's D</t>
  </si>
  <si>
    <t>HBI</t>
  </si>
  <si>
    <t>% Top Dominant</t>
  </si>
  <si>
    <t>% Top 3 Dominant</t>
  </si>
  <si>
    <t>% Top 5 Dominant</t>
  </si>
  <si>
    <t>% Chironomidae</t>
  </si>
  <si>
    <t>% Tolerant</t>
  </si>
  <si>
    <t>% Intolerant</t>
  </si>
  <si>
    <t>% Haptobenthos</t>
  </si>
  <si>
    <t>% Herpobenthos</t>
  </si>
  <si>
    <t>% CG</t>
  </si>
  <si>
    <t>% SC</t>
  </si>
  <si>
    <t>% SH</t>
  </si>
  <si>
    <t>% CF</t>
  </si>
  <si>
    <t>No. of Ephemeroptera Taxa</t>
  </si>
  <si>
    <t>No. of Plecoptera Taxa</t>
  </si>
  <si>
    <t>No. of Trichoptera Taxa</t>
  </si>
  <si>
    <t>Maryland Benthic Index of Biotic Integrity</t>
  </si>
  <si>
    <t>Family Metrics</t>
  </si>
  <si>
    <t>Non-Coastal Plain</t>
  </si>
  <si>
    <t>Metric</t>
  </si>
  <si>
    <t>Number of Families</t>
  </si>
  <si>
    <t>EPT Families</t>
  </si>
  <si>
    <t>Ephemeroptera Families</t>
  </si>
  <si>
    <t>Diptera Families</t>
  </si>
  <si>
    <t>% Ephemeroptera</t>
  </si>
  <si>
    <t>Intolerant Families</t>
  </si>
  <si>
    <t>Beck's Biotic Index</t>
  </si>
  <si>
    <t>Beck</t>
  </si>
  <si>
    <t>Total Taxa</t>
  </si>
  <si>
    <t>Site 1</t>
  </si>
  <si>
    <t>Site 2</t>
  </si>
  <si>
    <t>Site 3</t>
  </si>
  <si>
    <t>Site 4</t>
  </si>
  <si>
    <t>Site 5</t>
  </si>
  <si>
    <t>Other Site ID</t>
  </si>
  <si>
    <t>Project Name: N.B.Grant example</t>
  </si>
  <si>
    <t>Stream Name: Stream X</t>
  </si>
  <si>
    <t>Family Level ID</t>
  </si>
  <si>
    <t>Note: enter counts, copy counts for each site and paste at S8,,T8, U8……. then into decending order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</si>
</sst>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 quotePrefix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15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1.28125" style="0" customWidth="1"/>
    <col min="3" max="3" width="11.421875" style="0" customWidth="1"/>
    <col min="4" max="4" width="11.140625" style="0" customWidth="1"/>
    <col min="5" max="5" width="12.00390625" style="0" customWidth="1"/>
    <col min="6" max="6" width="11.140625" style="0" customWidth="1"/>
    <col min="7" max="7" width="11.421875" style="0" customWidth="1"/>
    <col min="8" max="8" width="11.57421875" style="0" customWidth="1"/>
    <col min="9" max="9" width="11.8515625" style="0" customWidth="1"/>
    <col min="10" max="10" width="11.421875" style="0" customWidth="1"/>
    <col min="11" max="16384" width="8.8515625" style="0" customWidth="1"/>
  </cols>
  <sheetData>
    <row r="1" spans="1:16" ht="12.75">
      <c r="A1" s="5" t="s">
        <v>195</v>
      </c>
      <c r="B1" s="5"/>
      <c r="C1" s="5"/>
      <c r="D1" s="5"/>
      <c r="E1" s="5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1" ht="12.75">
      <c r="A2" s="5" t="s">
        <v>196</v>
      </c>
      <c r="B2" s="5"/>
      <c r="C2" s="5"/>
      <c r="D2" s="5"/>
      <c r="E2" s="5"/>
      <c r="F2" s="6" t="s">
        <v>198</v>
      </c>
      <c r="G2" s="6"/>
      <c r="H2" s="6"/>
      <c r="I2" s="6"/>
      <c r="J2" s="6"/>
      <c r="K2" s="6"/>
      <c r="L2" s="6"/>
      <c r="M2" s="6"/>
      <c r="N2" s="1"/>
      <c r="O2" s="1"/>
      <c r="P2" s="1"/>
      <c r="U2" t="s">
        <v>5</v>
      </c>
    </row>
    <row r="3" spans="1:16" ht="12.75">
      <c r="A3" s="5" t="s">
        <v>197</v>
      </c>
      <c r="B3" s="5"/>
      <c r="C3" s="5"/>
      <c r="D3" s="5"/>
      <c r="E3" s="5"/>
      <c r="F3" s="16"/>
      <c r="G3" s="17"/>
      <c r="H3" s="17"/>
      <c r="I3" s="17"/>
      <c r="J3" s="17"/>
      <c r="K3" s="17"/>
      <c r="L3" s="17"/>
      <c r="M3" s="17"/>
      <c r="N3" s="14"/>
      <c r="O3" s="14"/>
      <c r="P3" s="14"/>
    </row>
    <row r="4" spans="1:10" ht="12.75">
      <c r="A4" s="11"/>
      <c r="B4" s="1"/>
      <c r="C4" s="1"/>
      <c r="D4" s="1"/>
      <c r="E4" s="1"/>
      <c r="F4" s="12" t="s">
        <v>189</v>
      </c>
      <c r="G4" s="12" t="s">
        <v>190</v>
      </c>
      <c r="H4" s="12" t="s">
        <v>191</v>
      </c>
      <c r="I4" s="12" t="s">
        <v>192</v>
      </c>
      <c r="J4" s="12" t="s">
        <v>193</v>
      </c>
    </row>
    <row r="5" spans="2:28" ht="12.75">
      <c r="B5" s="1"/>
      <c r="C5" s="1"/>
      <c r="D5" s="1"/>
      <c r="E5" s="1"/>
      <c r="F5" s="1" t="s">
        <v>194</v>
      </c>
      <c r="G5" s="1" t="s">
        <v>194</v>
      </c>
      <c r="H5" s="1" t="s">
        <v>194</v>
      </c>
      <c r="I5" s="1" t="s">
        <v>194</v>
      </c>
      <c r="J5" s="1" t="s">
        <v>194</v>
      </c>
      <c r="K5" s="14"/>
      <c r="L5" s="14"/>
      <c r="M5" s="14"/>
      <c r="N5" s="14"/>
      <c r="O5" s="14"/>
      <c r="P5" s="14"/>
      <c r="S5" s="1"/>
      <c r="T5" s="1"/>
      <c r="U5" s="1"/>
      <c r="V5" s="1"/>
      <c r="W5" s="1"/>
      <c r="AA5" s="1"/>
      <c r="AB5" s="1"/>
    </row>
    <row r="6" spans="2:28" ht="12.75">
      <c r="B6" s="1"/>
      <c r="C6" s="1"/>
      <c r="D6" s="1"/>
      <c r="E6" s="1"/>
      <c r="F6" s="18" t="s">
        <v>102</v>
      </c>
      <c r="G6" s="18" t="s">
        <v>102</v>
      </c>
      <c r="H6" s="18" t="s">
        <v>102</v>
      </c>
      <c r="I6" s="18" t="s">
        <v>102</v>
      </c>
      <c r="J6" s="18" t="s">
        <v>102</v>
      </c>
      <c r="K6" s="14"/>
      <c r="L6" s="14"/>
      <c r="M6" s="14"/>
      <c r="N6" s="14"/>
      <c r="O6" s="14"/>
      <c r="P6" s="14"/>
      <c r="S6" s="1"/>
      <c r="T6" s="1"/>
      <c r="U6" s="1"/>
      <c r="V6" s="1"/>
      <c r="W6" s="1"/>
      <c r="AA6" s="1"/>
      <c r="AB6" s="1"/>
    </row>
    <row r="7" spans="1:28" ht="12.75">
      <c r="A7" s="1" t="s">
        <v>112</v>
      </c>
      <c r="B7" s="1" t="s">
        <v>113</v>
      </c>
      <c r="C7" s="1" t="s">
        <v>114</v>
      </c>
      <c r="D7" s="1" t="s">
        <v>187</v>
      </c>
      <c r="E7" s="1" t="s">
        <v>115</v>
      </c>
      <c r="F7" s="1" t="s">
        <v>61</v>
      </c>
      <c r="G7" s="18" t="s">
        <v>62</v>
      </c>
      <c r="H7" s="1" t="s">
        <v>63</v>
      </c>
      <c r="I7" s="1" t="s">
        <v>64</v>
      </c>
      <c r="J7" s="1" t="s">
        <v>76</v>
      </c>
      <c r="K7" s="14"/>
      <c r="L7" s="14"/>
      <c r="M7" s="14"/>
      <c r="N7" s="14"/>
      <c r="O7" s="14"/>
      <c r="P7" s="14"/>
      <c r="S7" s="1" t="s">
        <v>61</v>
      </c>
      <c r="T7" s="1" t="s">
        <v>62</v>
      </c>
      <c r="U7" s="1" t="s">
        <v>63</v>
      </c>
      <c r="V7" s="1" t="s">
        <v>64</v>
      </c>
      <c r="W7" s="1" t="s">
        <v>76</v>
      </c>
      <c r="AA7" s="1"/>
      <c r="AB7" s="1"/>
    </row>
    <row r="8" spans="1:28" ht="12.75">
      <c r="A8" s="1" t="s">
        <v>116</v>
      </c>
      <c r="B8" s="1"/>
      <c r="C8" s="1"/>
      <c r="D8" s="1"/>
      <c r="E8" s="1"/>
      <c r="F8" s="1"/>
      <c r="G8" s="1"/>
      <c r="H8" s="1"/>
      <c r="I8" s="13"/>
      <c r="J8" s="1"/>
      <c r="K8" s="14"/>
      <c r="L8" s="14"/>
      <c r="M8" s="14"/>
      <c r="N8" s="14"/>
      <c r="O8" s="14"/>
      <c r="P8" s="14"/>
      <c r="S8" s="1">
        <v>15</v>
      </c>
      <c r="T8" s="1">
        <v>15</v>
      </c>
      <c r="U8" s="1">
        <v>15</v>
      </c>
      <c r="V8" s="1">
        <v>15</v>
      </c>
      <c r="W8" s="1">
        <v>15</v>
      </c>
      <c r="X8" s="1"/>
      <c r="Y8" s="1"/>
      <c r="Z8" s="1"/>
      <c r="AA8" s="1"/>
      <c r="AB8" s="1"/>
    </row>
    <row r="9" spans="1:28" ht="12.75">
      <c r="A9" s="5" t="s">
        <v>120</v>
      </c>
      <c r="B9" s="1" t="s">
        <v>121</v>
      </c>
      <c r="C9" s="1">
        <v>8</v>
      </c>
      <c r="D9" s="1"/>
      <c r="E9" s="1" t="s">
        <v>119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4"/>
      <c r="L9" s="14"/>
      <c r="M9" s="14"/>
      <c r="N9" s="14"/>
      <c r="O9" s="14"/>
      <c r="P9" s="14"/>
      <c r="S9" s="1">
        <v>15</v>
      </c>
      <c r="T9" s="1">
        <v>15</v>
      </c>
      <c r="U9" s="1">
        <v>15</v>
      </c>
      <c r="V9" s="1">
        <v>15</v>
      </c>
      <c r="W9" s="1">
        <v>15</v>
      </c>
      <c r="X9" s="1"/>
      <c r="Y9" s="1"/>
      <c r="Z9" s="1"/>
      <c r="AA9" s="1"/>
      <c r="AB9" s="1"/>
    </row>
    <row r="10" spans="1:28" ht="12.75">
      <c r="A10" s="5" t="s">
        <v>77</v>
      </c>
      <c r="B10" s="1" t="s">
        <v>118</v>
      </c>
      <c r="C10" s="1">
        <v>8</v>
      </c>
      <c r="D10" s="1"/>
      <c r="E10" s="1" t="s">
        <v>119</v>
      </c>
      <c r="F10" s="1"/>
      <c r="G10" s="1"/>
      <c r="H10" s="1"/>
      <c r="I10" s="1"/>
      <c r="J10" s="1"/>
      <c r="K10" s="14"/>
      <c r="L10" s="14"/>
      <c r="M10" s="14"/>
      <c r="N10" s="14"/>
      <c r="O10" s="14"/>
      <c r="P10" s="14"/>
      <c r="S10" s="1">
        <v>14</v>
      </c>
      <c r="T10" s="1">
        <v>14</v>
      </c>
      <c r="U10" s="1">
        <v>14</v>
      </c>
      <c r="V10" s="1">
        <v>14</v>
      </c>
      <c r="W10" s="1">
        <v>14</v>
      </c>
      <c r="X10" s="1"/>
      <c r="Y10" s="1"/>
      <c r="Z10" s="1"/>
      <c r="AA10" s="1"/>
      <c r="AB10" s="1"/>
    </row>
    <row r="11" spans="1:28" ht="12.75">
      <c r="A11" s="5" t="s">
        <v>78</v>
      </c>
      <c r="B11" s="1" t="s">
        <v>118</v>
      </c>
      <c r="C11" s="1">
        <v>8</v>
      </c>
      <c r="D11" s="1"/>
      <c r="E11" s="1" t="s">
        <v>119</v>
      </c>
      <c r="F11" s="1"/>
      <c r="G11" s="1"/>
      <c r="H11" s="1"/>
      <c r="I11" s="1"/>
      <c r="J11" s="1"/>
      <c r="K11" s="14"/>
      <c r="L11" s="14"/>
      <c r="M11" s="14"/>
      <c r="N11" s="14"/>
      <c r="O11" s="14"/>
      <c r="P11" s="14"/>
      <c r="S11" s="1">
        <v>10</v>
      </c>
      <c r="T11" s="1">
        <v>10</v>
      </c>
      <c r="U11" s="1">
        <v>10</v>
      </c>
      <c r="V11" s="1">
        <v>10</v>
      </c>
      <c r="W11" s="1">
        <v>10</v>
      </c>
      <c r="X11" s="1"/>
      <c r="Y11" s="1"/>
      <c r="Z11" s="1"/>
      <c r="AA11" s="1"/>
      <c r="AB11" s="1"/>
    </row>
    <row r="12" spans="1:28" ht="12.75">
      <c r="A12" s="5" t="s">
        <v>79</v>
      </c>
      <c r="B12" s="1" t="s">
        <v>117</v>
      </c>
      <c r="C12" s="1">
        <v>5</v>
      </c>
      <c r="D12" s="1"/>
      <c r="E12" s="1" t="s">
        <v>117</v>
      </c>
      <c r="F12" s="1">
        <v>2</v>
      </c>
      <c r="G12" s="1">
        <v>2</v>
      </c>
      <c r="H12" s="1">
        <v>2</v>
      </c>
      <c r="I12" s="1">
        <v>2</v>
      </c>
      <c r="J12" s="1">
        <v>2</v>
      </c>
      <c r="K12" s="14"/>
      <c r="L12" s="14"/>
      <c r="M12" s="14"/>
      <c r="N12" s="14"/>
      <c r="O12" s="14"/>
      <c r="P12" s="14"/>
      <c r="S12" s="1">
        <v>10</v>
      </c>
      <c r="T12" s="1">
        <v>10</v>
      </c>
      <c r="U12" s="1">
        <v>10</v>
      </c>
      <c r="V12" s="1">
        <v>10</v>
      </c>
      <c r="W12" s="1">
        <v>10</v>
      </c>
      <c r="X12" s="1"/>
      <c r="Y12" s="1"/>
      <c r="Z12" s="1"/>
      <c r="AA12" s="1"/>
      <c r="AB12" s="1"/>
    </row>
    <row r="13" spans="1:28" ht="12.75">
      <c r="A13" s="5" t="s">
        <v>100</v>
      </c>
      <c r="B13" s="1" t="s">
        <v>127</v>
      </c>
      <c r="C13" s="1">
        <v>6</v>
      </c>
      <c r="D13" s="1"/>
      <c r="E13" s="1" t="s">
        <v>119</v>
      </c>
      <c r="F13" s="1"/>
      <c r="G13" s="1"/>
      <c r="H13" s="1"/>
      <c r="I13" s="1"/>
      <c r="J13" s="1"/>
      <c r="K13" s="14"/>
      <c r="L13" s="14"/>
      <c r="M13" s="14"/>
      <c r="N13" s="14"/>
      <c r="O13" s="14"/>
      <c r="P13" s="14"/>
      <c r="S13" s="1">
        <v>5</v>
      </c>
      <c r="T13" s="1">
        <v>5</v>
      </c>
      <c r="U13" s="1">
        <v>5</v>
      </c>
      <c r="V13" s="1">
        <v>5</v>
      </c>
      <c r="W13" s="1">
        <v>5</v>
      </c>
      <c r="X13" s="1"/>
      <c r="Y13" s="1"/>
      <c r="Z13" s="1"/>
      <c r="AA13" s="1"/>
      <c r="AB13" s="1"/>
    </row>
    <row r="14" spans="1:28" ht="12.75">
      <c r="A14" s="5" t="s">
        <v>80</v>
      </c>
      <c r="B14" s="1" t="s">
        <v>121</v>
      </c>
      <c r="C14" s="1">
        <v>6</v>
      </c>
      <c r="D14" s="1"/>
      <c r="E14" s="1" t="s">
        <v>123</v>
      </c>
      <c r="F14" s="1"/>
      <c r="G14" s="1"/>
      <c r="H14" s="1"/>
      <c r="I14" s="1"/>
      <c r="J14" s="1"/>
      <c r="K14" s="14"/>
      <c r="L14" s="14"/>
      <c r="M14" s="14"/>
      <c r="N14" s="14"/>
      <c r="O14" s="14"/>
      <c r="P14" s="14"/>
      <c r="S14" s="1">
        <v>5</v>
      </c>
      <c r="T14" s="1">
        <v>5</v>
      </c>
      <c r="U14" s="1">
        <v>5</v>
      </c>
      <c r="V14" s="1">
        <v>5</v>
      </c>
      <c r="W14" s="1">
        <v>5</v>
      </c>
      <c r="X14" s="1"/>
      <c r="Y14" s="1"/>
      <c r="Z14" s="1"/>
      <c r="AA14" s="1"/>
      <c r="AB14" s="1"/>
    </row>
    <row r="15" spans="1:28" ht="12.75">
      <c r="A15" s="5" t="s">
        <v>81</v>
      </c>
      <c r="B15" s="1" t="s">
        <v>119</v>
      </c>
      <c r="C15" s="1">
        <v>2</v>
      </c>
      <c r="D15" s="1">
        <v>2</v>
      </c>
      <c r="E15" s="1" t="s">
        <v>122</v>
      </c>
      <c r="F15" s="1"/>
      <c r="G15" s="1"/>
      <c r="H15" s="1"/>
      <c r="I15" s="1"/>
      <c r="J15" s="1"/>
      <c r="K15" s="14"/>
      <c r="L15" s="14"/>
      <c r="M15" s="14"/>
      <c r="N15" s="14"/>
      <c r="O15" s="14"/>
      <c r="P15" s="14"/>
      <c r="S15" s="1">
        <v>5</v>
      </c>
      <c r="T15" s="1">
        <v>5</v>
      </c>
      <c r="U15" s="1">
        <v>5</v>
      </c>
      <c r="V15" s="1">
        <v>5</v>
      </c>
      <c r="W15" s="1">
        <v>5</v>
      </c>
      <c r="X15" s="1"/>
      <c r="Y15" s="1"/>
      <c r="Z15" s="1"/>
      <c r="AA15" s="1"/>
      <c r="AB15" s="1"/>
    </row>
    <row r="16" spans="1:28" ht="12.75">
      <c r="A16" s="5" t="s">
        <v>82</v>
      </c>
      <c r="B16" s="1" t="s">
        <v>119</v>
      </c>
      <c r="C16" s="1">
        <v>7</v>
      </c>
      <c r="D16" s="1"/>
      <c r="E16" s="1" t="s">
        <v>122</v>
      </c>
      <c r="F16" s="1"/>
      <c r="G16" s="1"/>
      <c r="H16" s="1"/>
      <c r="I16" s="1"/>
      <c r="J16" s="1"/>
      <c r="K16" s="14"/>
      <c r="L16" s="14"/>
      <c r="M16" s="14"/>
      <c r="N16" s="14"/>
      <c r="O16" s="14"/>
      <c r="P16" s="14"/>
      <c r="S16" s="1">
        <v>4</v>
      </c>
      <c r="T16" s="1">
        <v>4</v>
      </c>
      <c r="U16" s="1">
        <v>4</v>
      </c>
      <c r="V16" s="1">
        <v>4</v>
      </c>
      <c r="W16" s="1">
        <v>4</v>
      </c>
      <c r="X16" s="1"/>
      <c r="Y16" s="1"/>
      <c r="Z16" s="1"/>
      <c r="AA16" s="1"/>
      <c r="AB16" s="1"/>
    </row>
    <row r="17" spans="1:28" ht="12.75">
      <c r="A17" s="5" t="s">
        <v>99</v>
      </c>
      <c r="B17" s="1" t="s">
        <v>121</v>
      </c>
      <c r="C17" s="1">
        <v>8</v>
      </c>
      <c r="D17" s="1"/>
      <c r="E17" s="1" t="s">
        <v>123</v>
      </c>
      <c r="F17" s="1"/>
      <c r="G17" s="1"/>
      <c r="H17" s="1"/>
      <c r="I17" s="1"/>
      <c r="J17" s="1"/>
      <c r="K17" s="14"/>
      <c r="L17" s="14"/>
      <c r="M17" s="14"/>
      <c r="N17" s="14"/>
      <c r="O17" s="14"/>
      <c r="P17" s="14"/>
      <c r="S17" s="1">
        <v>4</v>
      </c>
      <c r="T17" s="1">
        <v>4</v>
      </c>
      <c r="U17" s="1">
        <v>4</v>
      </c>
      <c r="V17" s="1">
        <v>4</v>
      </c>
      <c r="W17" s="1">
        <v>4</v>
      </c>
      <c r="X17" s="1"/>
      <c r="Y17" s="1"/>
      <c r="Z17" s="1"/>
      <c r="AA17" s="1"/>
      <c r="AB17" s="1"/>
    </row>
    <row r="18" spans="1:28" ht="12.75">
      <c r="A18" s="5" t="s">
        <v>83</v>
      </c>
      <c r="B18" s="1" t="s">
        <v>118</v>
      </c>
      <c r="C18" s="1">
        <v>7</v>
      </c>
      <c r="D18" s="1"/>
      <c r="E18" s="1" t="s">
        <v>119</v>
      </c>
      <c r="F18" s="1"/>
      <c r="G18" s="1"/>
      <c r="H18" s="1"/>
      <c r="I18" s="1"/>
      <c r="J18" s="1"/>
      <c r="K18" s="14"/>
      <c r="L18" s="14"/>
      <c r="M18" s="14"/>
      <c r="N18" s="14"/>
      <c r="O18" s="14"/>
      <c r="P18" s="14"/>
      <c r="S18" s="1">
        <v>3</v>
      </c>
      <c r="T18" s="1">
        <v>3</v>
      </c>
      <c r="U18" s="1">
        <v>3</v>
      </c>
      <c r="V18" s="1">
        <v>3</v>
      </c>
      <c r="W18" s="1">
        <v>3</v>
      </c>
      <c r="X18" s="1"/>
      <c r="Y18" s="1"/>
      <c r="Z18" s="1"/>
      <c r="AA18" s="1"/>
      <c r="AB18" s="1"/>
    </row>
    <row r="19" spans="1:28" ht="12.75">
      <c r="A19" s="5" t="s">
        <v>91</v>
      </c>
      <c r="B19" s="1" t="s">
        <v>127</v>
      </c>
      <c r="C19" s="1">
        <v>6</v>
      </c>
      <c r="D19" s="1"/>
      <c r="E19" s="1" t="s">
        <v>133</v>
      </c>
      <c r="F19" s="1"/>
      <c r="G19" s="1"/>
      <c r="H19" s="1"/>
      <c r="I19" s="1"/>
      <c r="J19" s="1"/>
      <c r="K19" s="14"/>
      <c r="L19" s="14"/>
      <c r="M19" s="14"/>
      <c r="N19" s="14"/>
      <c r="O19" s="14"/>
      <c r="P19" s="14"/>
      <c r="S19" s="1">
        <v>3</v>
      </c>
      <c r="T19" s="1">
        <v>3</v>
      </c>
      <c r="U19" s="1">
        <v>3</v>
      </c>
      <c r="V19" s="1">
        <v>3</v>
      </c>
      <c r="W19" s="1">
        <v>3</v>
      </c>
      <c r="X19" s="1"/>
      <c r="Y19" s="1"/>
      <c r="Z19" s="1"/>
      <c r="AA19" s="1"/>
      <c r="AB19" s="1"/>
    </row>
    <row r="20" spans="1:28" ht="12.75">
      <c r="A20" s="1" t="s">
        <v>124</v>
      </c>
      <c r="B20" s="1"/>
      <c r="C20" s="1"/>
      <c r="D20" s="1"/>
      <c r="E20" s="1"/>
      <c r="F20" s="1"/>
      <c r="G20" s="1"/>
      <c r="H20" s="1"/>
      <c r="I20" s="1"/>
      <c r="J20" s="1"/>
      <c r="K20" s="14"/>
      <c r="L20" s="14"/>
      <c r="M20" s="14"/>
      <c r="N20" s="14"/>
      <c r="O20" s="14"/>
      <c r="P20" s="14"/>
      <c r="S20" s="1">
        <v>2</v>
      </c>
      <c r="T20" s="1">
        <v>2</v>
      </c>
      <c r="U20" s="1">
        <v>2</v>
      </c>
      <c r="V20" s="1">
        <v>2</v>
      </c>
      <c r="W20" s="1">
        <v>2</v>
      </c>
      <c r="X20" s="1"/>
      <c r="Y20" s="1"/>
      <c r="Z20" s="1"/>
      <c r="AA20" s="1"/>
      <c r="AB20" s="1"/>
    </row>
    <row r="21" spans="1:28" ht="12.75">
      <c r="A21" s="5" t="s">
        <v>125</v>
      </c>
      <c r="B21" s="1" t="s">
        <v>119</v>
      </c>
      <c r="C21" s="1">
        <v>5</v>
      </c>
      <c r="D21" s="1"/>
      <c r="E21" s="1" t="s">
        <v>119</v>
      </c>
      <c r="F21" s="1"/>
      <c r="G21" s="1"/>
      <c r="H21" s="1"/>
      <c r="I21" s="1"/>
      <c r="J21" s="1"/>
      <c r="K21" s="14"/>
      <c r="L21" s="14"/>
      <c r="M21" s="14"/>
      <c r="N21" s="14"/>
      <c r="O21" s="14"/>
      <c r="P21" s="14"/>
      <c r="S21" s="1">
        <v>2</v>
      </c>
      <c r="T21" s="1">
        <v>2</v>
      </c>
      <c r="U21" s="1">
        <v>2</v>
      </c>
      <c r="V21" s="1">
        <v>2</v>
      </c>
      <c r="W21" s="1">
        <v>2</v>
      </c>
      <c r="X21" s="1"/>
      <c r="Y21" s="1"/>
      <c r="Z21" s="1"/>
      <c r="AA21" s="1"/>
      <c r="AB21" s="1"/>
    </row>
    <row r="22" spans="1:28" ht="12.75">
      <c r="A22" s="5" t="s">
        <v>69</v>
      </c>
      <c r="B22" s="1" t="s">
        <v>118</v>
      </c>
      <c r="C22" s="1">
        <v>6</v>
      </c>
      <c r="D22" s="1"/>
      <c r="E22" s="1" t="s">
        <v>119</v>
      </c>
      <c r="F22" s="1">
        <v>4</v>
      </c>
      <c r="G22" s="1">
        <v>4</v>
      </c>
      <c r="H22" s="1">
        <v>4</v>
      </c>
      <c r="I22" s="1">
        <v>4</v>
      </c>
      <c r="J22" s="1">
        <v>4</v>
      </c>
      <c r="K22" s="14"/>
      <c r="L22" s="14"/>
      <c r="M22" s="14"/>
      <c r="N22" s="14"/>
      <c r="O22" s="14"/>
      <c r="P22" s="14"/>
      <c r="S22" s="1">
        <v>2</v>
      </c>
      <c r="T22" s="1">
        <v>2</v>
      </c>
      <c r="U22" s="1">
        <v>2</v>
      </c>
      <c r="V22" s="1">
        <v>2</v>
      </c>
      <c r="W22" s="1">
        <v>2</v>
      </c>
      <c r="X22" s="1"/>
      <c r="Y22" s="1"/>
      <c r="Z22" s="1"/>
      <c r="AA22" s="1"/>
      <c r="AB22" s="1"/>
    </row>
    <row r="23" spans="1:28" ht="12.75">
      <c r="A23" s="5" t="s">
        <v>126</v>
      </c>
      <c r="B23" s="1" t="s">
        <v>119</v>
      </c>
      <c r="C23" s="1">
        <v>3</v>
      </c>
      <c r="D23" s="1">
        <v>2</v>
      </c>
      <c r="E23" s="1" t="s">
        <v>122</v>
      </c>
      <c r="F23" s="1"/>
      <c r="G23" s="1"/>
      <c r="H23" s="1"/>
      <c r="I23" s="1"/>
      <c r="J23" s="1"/>
      <c r="K23" s="14"/>
      <c r="L23" s="14"/>
      <c r="M23" s="14"/>
      <c r="N23" s="14"/>
      <c r="O23" s="14"/>
      <c r="P23" s="14"/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/>
      <c r="Y23" s="1"/>
      <c r="Z23" s="1"/>
      <c r="AA23" s="1"/>
      <c r="AB23" s="1"/>
    </row>
    <row r="24" spans="1:28" ht="12.75">
      <c r="A24" s="5" t="s">
        <v>101</v>
      </c>
      <c r="B24" s="1" t="s">
        <v>118</v>
      </c>
      <c r="C24" s="1">
        <v>3</v>
      </c>
      <c r="D24" s="1">
        <v>2</v>
      </c>
      <c r="E24" s="1" t="s">
        <v>119</v>
      </c>
      <c r="F24" s="1">
        <v>5</v>
      </c>
      <c r="G24" s="1">
        <v>5</v>
      </c>
      <c r="H24" s="1">
        <v>5</v>
      </c>
      <c r="I24" s="1">
        <v>5</v>
      </c>
      <c r="J24" s="1">
        <v>5</v>
      </c>
      <c r="K24" s="14"/>
      <c r="L24" s="14"/>
      <c r="M24" s="14"/>
      <c r="N24" s="14"/>
      <c r="O24" s="14"/>
      <c r="P24" s="14"/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/>
      <c r="Y24" s="1"/>
      <c r="Z24" s="1"/>
      <c r="AA24" s="1"/>
      <c r="AB24" s="1"/>
    </row>
    <row r="25" spans="1:28" ht="12.75">
      <c r="A25" s="5" t="s">
        <v>128</v>
      </c>
      <c r="B25" s="1" t="s">
        <v>127</v>
      </c>
      <c r="C25" s="1">
        <v>2</v>
      </c>
      <c r="D25" s="1">
        <v>2</v>
      </c>
      <c r="E25" s="1" t="s">
        <v>119</v>
      </c>
      <c r="F25" s="1"/>
      <c r="G25" s="1"/>
      <c r="H25" s="1"/>
      <c r="I25" s="1"/>
      <c r="J25" s="1"/>
      <c r="K25" s="14"/>
      <c r="L25" s="14"/>
      <c r="M25" s="14"/>
      <c r="N25" s="14"/>
      <c r="O25" s="14"/>
      <c r="P25" s="14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2.75">
      <c r="A26" s="5" t="s">
        <v>129</v>
      </c>
      <c r="B26" s="1" t="s">
        <v>127</v>
      </c>
      <c r="C26" s="1">
        <v>2</v>
      </c>
      <c r="D26" s="1">
        <v>2</v>
      </c>
      <c r="E26" s="1" t="s">
        <v>119</v>
      </c>
      <c r="F26" s="1"/>
      <c r="G26" s="1"/>
      <c r="H26" s="1"/>
      <c r="I26" s="1"/>
      <c r="J26" s="1"/>
      <c r="K26" s="14"/>
      <c r="L26" s="14"/>
      <c r="M26" s="14"/>
      <c r="N26" s="14"/>
      <c r="O26" s="14"/>
      <c r="P26" s="14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2.75">
      <c r="A27" s="5" t="s">
        <v>130</v>
      </c>
      <c r="B27" s="1" t="s">
        <v>119</v>
      </c>
      <c r="C27" s="1">
        <v>3</v>
      </c>
      <c r="D27" s="1">
        <v>2</v>
      </c>
      <c r="E27" s="1" t="s">
        <v>123</v>
      </c>
      <c r="F27" s="1"/>
      <c r="G27" s="1"/>
      <c r="H27" s="1"/>
      <c r="I27" s="1"/>
      <c r="J27" s="1"/>
      <c r="K27" s="14"/>
      <c r="L27" s="14"/>
      <c r="M27" s="14"/>
      <c r="N27" s="14"/>
      <c r="O27" s="14"/>
      <c r="P27" s="14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2.75">
      <c r="A28" s="5" t="s">
        <v>98</v>
      </c>
      <c r="B28" s="1" t="s">
        <v>121</v>
      </c>
      <c r="C28" s="1">
        <v>4</v>
      </c>
      <c r="D28" s="1">
        <v>2</v>
      </c>
      <c r="E28" s="1" t="s">
        <v>119</v>
      </c>
      <c r="F28" s="1"/>
      <c r="G28" s="1"/>
      <c r="H28" s="1"/>
      <c r="I28" s="1"/>
      <c r="J28" s="1"/>
      <c r="K28" s="14"/>
      <c r="L28" s="14"/>
      <c r="M28" s="14"/>
      <c r="N28" s="14"/>
      <c r="O28" s="14"/>
      <c r="P28" s="14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.75">
      <c r="A29" s="5" t="s">
        <v>86</v>
      </c>
      <c r="B29" s="1" t="s">
        <v>121</v>
      </c>
      <c r="C29" s="1">
        <v>1</v>
      </c>
      <c r="D29" s="1">
        <v>1</v>
      </c>
      <c r="E29" s="1" t="s">
        <v>119</v>
      </c>
      <c r="F29" s="1"/>
      <c r="G29" s="1"/>
      <c r="H29" s="1"/>
      <c r="I29" s="1"/>
      <c r="J29" s="1"/>
      <c r="K29" s="14"/>
      <c r="L29" s="14"/>
      <c r="M29" s="14"/>
      <c r="N29" s="14"/>
      <c r="O29" s="14"/>
      <c r="P29" s="14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2.75">
      <c r="A30" s="5" t="s">
        <v>84</v>
      </c>
      <c r="B30" s="1" t="s">
        <v>85</v>
      </c>
      <c r="C30" s="1">
        <v>2</v>
      </c>
      <c r="D30" s="1">
        <v>2</v>
      </c>
      <c r="E30" s="1" t="s">
        <v>119</v>
      </c>
      <c r="F30" s="1">
        <v>5</v>
      </c>
      <c r="G30" s="1">
        <v>5</v>
      </c>
      <c r="H30" s="1">
        <v>5</v>
      </c>
      <c r="I30" s="1">
        <v>5</v>
      </c>
      <c r="J30" s="1">
        <v>5</v>
      </c>
      <c r="K30" s="14"/>
      <c r="L30" s="14"/>
      <c r="M30" s="14"/>
      <c r="N30" s="14"/>
      <c r="O30" s="14"/>
      <c r="P30" s="14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2.75">
      <c r="A31" s="1" t="s">
        <v>131</v>
      </c>
      <c r="B31" s="1"/>
      <c r="C31" s="1"/>
      <c r="D31" s="1"/>
      <c r="E31" s="1"/>
      <c r="F31" s="1"/>
      <c r="G31" s="1"/>
      <c r="H31" s="1"/>
      <c r="I31" s="1"/>
      <c r="J31" s="1"/>
      <c r="K31" s="14"/>
      <c r="L31" s="14"/>
      <c r="M31" s="14"/>
      <c r="N31" s="14"/>
      <c r="O31" s="14"/>
      <c r="P31" s="14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2.75">
      <c r="A32" s="5" t="s">
        <v>132</v>
      </c>
      <c r="B32" s="1" t="s">
        <v>127</v>
      </c>
      <c r="C32" s="1">
        <v>3</v>
      </c>
      <c r="D32" s="1">
        <v>2</v>
      </c>
      <c r="E32" s="1" t="s">
        <v>133</v>
      </c>
      <c r="F32" s="1"/>
      <c r="G32" s="1"/>
      <c r="H32" s="1"/>
      <c r="I32" s="1"/>
      <c r="J32" s="1"/>
      <c r="K32" s="14"/>
      <c r="L32" s="14"/>
      <c r="M32" s="14"/>
      <c r="N32" s="14"/>
      <c r="O32" s="14"/>
      <c r="P32" s="14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2.75">
      <c r="A33" s="5" t="s">
        <v>71</v>
      </c>
      <c r="B33" s="1" t="s">
        <v>134</v>
      </c>
      <c r="C33" s="1">
        <v>8</v>
      </c>
      <c r="D33" s="1"/>
      <c r="E33" s="1" t="s">
        <v>133</v>
      </c>
      <c r="F33" s="1">
        <v>2</v>
      </c>
      <c r="G33" s="1">
        <v>2</v>
      </c>
      <c r="H33" s="1">
        <v>2</v>
      </c>
      <c r="I33" s="1">
        <v>2</v>
      </c>
      <c r="J33" s="1">
        <v>2</v>
      </c>
      <c r="K33" s="14"/>
      <c r="L33" s="14"/>
      <c r="M33" s="14"/>
      <c r="N33" s="14"/>
      <c r="O33" s="14"/>
      <c r="P33" s="14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5" t="s">
        <v>135</v>
      </c>
      <c r="B34" s="1" t="s">
        <v>121</v>
      </c>
      <c r="C34" s="1">
        <v>3</v>
      </c>
      <c r="D34" s="1">
        <v>2</v>
      </c>
      <c r="E34" s="1" t="s">
        <v>133</v>
      </c>
      <c r="F34" s="1"/>
      <c r="G34" s="1"/>
      <c r="H34" s="1"/>
      <c r="I34" s="1"/>
      <c r="J34" s="1"/>
      <c r="K34" s="14"/>
      <c r="L34" s="14"/>
      <c r="M34" s="14"/>
      <c r="N34" s="14"/>
      <c r="O34" s="14"/>
      <c r="P34" s="14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2.75">
      <c r="A35" s="5" t="s">
        <v>87</v>
      </c>
      <c r="B35" s="1" t="s">
        <v>134</v>
      </c>
      <c r="C35" s="1">
        <v>7</v>
      </c>
      <c r="D35" s="1"/>
      <c r="E35" s="1" t="s">
        <v>133</v>
      </c>
      <c r="F35" s="1"/>
      <c r="G35" s="1"/>
      <c r="H35" s="1"/>
      <c r="I35" s="1"/>
      <c r="J35" s="1"/>
      <c r="K35" s="14"/>
      <c r="L35" s="14"/>
      <c r="M35" s="14"/>
      <c r="N35" s="14"/>
      <c r="O35" s="14"/>
      <c r="P35" s="14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2.75">
      <c r="A36" s="5" t="s">
        <v>88</v>
      </c>
      <c r="B36" s="1" t="s">
        <v>127</v>
      </c>
      <c r="C36" s="1">
        <v>9</v>
      </c>
      <c r="D36" s="1"/>
      <c r="E36" s="1" t="s">
        <v>133</v>
      </c>
      <c r="F36" s="1"/>
      <c r="G36" s="1"/>
      <c r="H36" s="1"/>
      <c r="I36" s="1"/>
      <c r="J36" s="1"/>
      <c r="K36" s="14"/>
      <c r="L36" s="14"/>
      <c r="M36" s="14"/>
      <c r="N36" s="14"/>
      <c r="O36" s="14"/>
      <c r="P36" s="14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2.75">
      <c r="A37" s="1" t="s">
        <v>136</v>
      </c>
      <c r="B37" s="1"/>
      <c r="C37" s="1"/>
      <c r="D37" s="1"/>
      <c r="E37" s="1"/>
      <c r="F37" s="1"/>
      <c r="G37" s="1"/>
      <c r="H37" s="1"/>
      <c r="I37" s="1"/>
      <c r="J37" s="1"/>
      <c r="K37" s="14"/>
      <c r="L37" s="14"/>
      <c r="M37" s="14"/>
      <c r="N37" s="14"/>
      <c r="O37" s="14"/>
      <c r="P37" s="14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2.75">
      <c r="A38" s="5" t="s">
        <v>137</v>
      </c>
      <c r="B38" s="1" t="s">
        <v>127</v>
      </c>
      <c r="C38" s="1">
        <v>1</v>
      </c>
      <c r="D38" s="1">
        <v>1</v>
      </c>
      <c r="E38" s="1" t="s">
        <v>133</v>
      </c>
      <c r="F38" s="1">
        <v>10</v>
      </c>
      <c r="G38" s="1">
        <v>10</v>
      </c>
      <c r="H38" s="1">
        <v>10</v>
      </c>
      <c r="I38" s="1">
        <v>10</v>
      </c>
      <c r="J38" s="1">
        <v>10</v>
      </c>
      <c r="K38" s="14"/>
      <c r="L38" s="14"/>
      <c r="M38" s="14"/>
      <c r="N38" s="14"/>
      <c r="O38" s="14"/>
      <c r="P38" s="14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2.75">
      <c r="A39" s="5" t="s">
        <v>103</v>
      </c>
      <c r="B39" s="1" t="s">
        <v>127</v>
      </c>
      <c r="C39" s="1">
        <v>1</v>
      </c>
      <c r="D39" s="1">
        <v>1</v>
      </c>
      <c r="E39" s="1" t="s">
        <v>138</v>
      </c>
      <c r="F39" s="1"/>
      <c r="G39" s="1"/>
      <c r="H39" s="1"/>
      <c r="I39" s="1"/>
      <c r="J39" s="1"/>
      <c r="K39" s="14"/>
      <c r="L39" s="14"/>
      <c r="M39" s="14"/>
      <c r="N39" s="14"/>
      <c r="O39" s="14"/>
      <c r="P39" s="14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2.75">
      <c r="A40" s="5" t="s">
        <v>105</v>
      </c>
      <c r="B40" s="1" t="s">
        <v>127</v>
      </c>
      <c r="C40" s="1">
        <v>1</v>
      </c>
      <c r="D40" s="1">
        <v>1</v>
      </c>
      <c r="E40" s="1" t="s">
        <v>138</v>
      </c>
      <c r="F40" s="1"/>
      <c r="G40" s="1"/>
      <c r="H40" s="1"/>
      <c r="I40" s="1"/>
      <c r="J40" s="1"/>
      <c r="K40" s="14"/>
      <c r="L40" s="14"/>
      <c r="M40" s="14"/>
      <c r="N40" s="14"/>
      <c r="O40" s="14"/>
      <c r="P40" s="14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2.75">
      <c r="A41" s="5" t="s">
        <v>24</v>
      </c>
      <c r="B41" s="1" t="s">
        <v>127</v>
      </c>
      <c r="C41" s="1">
        <v>5</v>
      </c>
      <c r="D41" s="1"/>
      <c r="E41" s="1" t="s">
        <v>138</v>
      </c>
      <c r="F41" s="1">
        <v>14</v>
      </c>
      <c r="G41" s="1">
        <v>14</v>
      </c>
      <c r="H41" s="1">
        <v>14</v>
      </c>
      <c r="I41" s="1">
        <v>14</v>
      </c>
      <c r="J41" s="1">
        <v>14</v>
      </c>
      <c r="K41" s="14"/>
      <c r="L41" s="14"/>
      <c r="M41" s="14"/>
      <c r="N41" s="14"/>
      <c r="O41" s="14"/>
      <c r="P41" s="14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2.75">
      <c r="A42" s="5" t="s">
        <v>104</v>
      </c>
      <c r="B42" s="1" t="s">
        <v>127</v>
      </c>
      <c r="C42" s="1">
        <v>3</v>
      </c>
      <c r="D42" s="1">
        <v>2</v>
      </c>
      <c r="E42" s="1" t="s">
        <v>138</v>
      </c>
      <c r="F42" s="1"/>
      <c r="G42" s="1"/>
      <c r="H42" s="1"/>
      <c r="I42" s="1"/>
      <c r="J42" s="1"/>
      <c r="K42" s="14"/>
      <c r="L42" s="14"/>
      <c r="M42" s="14"/>
      <c r="N42" s="14"/>
      <c r="O42" s="14"/>
      <c r="P42" s="14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2.75">
      <c r="A43" s="5" t="s">
        <v>139</v>
      </c>
      <c r="B43" s="1" t="s">
        <v>127</v>
      </c>
      <c r="C43" s="1">
        <v>2</v>
      </c>
      <c r="D43" s="1">
        <v>2</v>
      </c>
      <c r="E43" s="1" t="s">
        <v>133</v>
      </c>
      <c r="F43" s="1"/>
      <c r="G43" s="1"/>
      <c r="H43" s="1"/>
      <c r="I43" s="1"/>
      <c r="J43" s="1"/>
      <c r="K43" s="14"/>
      <c r="L43" s="14"/>
      <c r="M43" s="14"/>
      <c r="N43" s="14"/>
      <c r="O43" s="14"/>
      <c r="P43" s="14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5" t="s">
        <v>140</v>
      </c>
      <c r="B44" s="1" t="s">
        <v>127</v>
      </c>
      <c r="C44" s="1">
        <v>0</v>
      </c>
      <c r="D44" s="1">
        <v>1</v>
      </c>
      <c r="E44" s="1" t="s">
        <v>138</v>
      </c>
      <c r="F44" s="1"/>
      <c r="G44" s="1"/>
      <c r="H44" s="1"/>
      <c r="I44" s="1"/>
      <c r="J44" s="1"/>
      <c r="K44" s="14"/>
      <c r="L44" s="14"/>
      <c r="M44" s="14"/>
      <c r="N44" s="14"/>
      <c r="O44" s="14"/>
      <c r="P44" s="14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2.75">
      <c r="A45" s="1" t="s">
        <v>141</v>
      </c>
      <c r="B45" s="1"/>
      <c r="C45" s="1"/>
      <c r="D45" s="1"/>
      <c r="E45" s="1"/>
      <c r="F45" s="1"/>
      <c r="G45" s="1"/>
      <c r="H45" s="1"/>
      <c r="I45" s="1"/>
      <c r="J45" s="1"/>
      <c r="K45" s="14"/>
      <c r="L45" s="14"/>
      <c r="M45" s="14"/>
      <c r="N45" s="14"/>
      <c r="O45" s="14"/>
      <c r="P45" s="14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2.75">
      <c r="A46" s="5" t="s">
        <v>142</v>
      </c>
      <c r="B46" s="1" t="s">
        <v>127</v>
      </c>
      <c r="C46" s="1">
        <v>5</v>
      </c>
      <c r="D46" s="1"/>
      <c r="E46" s="1" t="s">
        <v>133</v>
      </c>
      <c r="F46" s="1">
        <v>1</v>
      </c>
      <c r="G46" s="1">
        <v>1</v>
      </c>
      <c r="H46" s="1">
        <v>1</v>
      </c>
      <c r="I46" s="1">
        <v>1</v>
      </c>
      <c r="J46" s="1">
        <v>1</v>
      </c>
      <c r="K46" s="14"/>
      <c r="L46" s="14"/>
      <c r="M46" s="14"/>
      <c r="N46" s="14"/>
      <c r="O46" s="14"/>
      <c r="P46" s="14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2.75">
      <c r="A47" s="20" t="s">
        <v>93</v>
      </c>
      <c r="B47" s="1"/>
      <c r="C47" s="1"/>
      <c r="D47" s="1"/>
      <c r="E47" s="1"/>
      <c r="F47" s="1"/>
      <c r="G47" s="1"/>
      <c r="H47" s="1"/>
      <c r="I47" s="1"/>
      <c r="J47" s="1"/>
      <c r="K47" s="14"/>
      <c r="L47" s="14"/>
      <c r="M47" s="14"/>
      <c r="N47" s="14"/>
      <c r="O47" s="14"/>
      <c r="P47" s="14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2.75">
      <c r="A48" s="20" t="s">
        <v>106</v>
      </c>
      <c r="B48" s="1" t="s">
        <v>107</v>
      </c>
      <c r="C48" s="1">
        <v>8</v>
      </c>
      <c r="D48" s="1"/>
      <c r="E48" s="1" t="s">
        <v>133</v>
      </c>
      <c r="F48" s="1"/>
      <c r="G48" s="1"/>
      <c r="H48" s="1"/>
      <c r="I48" s="1"/>
      <c r="J48" s="1"/>
      <c r="K48" s="14"/>
      <c r="L48" s="14"/>
      <c r="M48" s="14"/>
      <c r="N48" s="14"/>
      <c r="O48" s="14"/>
      <c r="P48" s="14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2.75">
      <c r="A49" s="5" t="s">
        <v>94</v>
      </c>
      <c r="B49" s="1" t="s">
        <v>95</v>
      </c>
      <c r="C49" s="1">
        <v>9</v>
      </c>
      <c r="D49" s="1"/>
      <c r="E49" s="1" t="s">
        <v>96</v>
      </c>
      <c r="F49" s="1"/>
      <c r="G49" s="1"/>
      <c r="H49" s="1"/>
      <c r="I49" s="1"/>
      <c r="J49" s="1"/>
      <c r="K49" s="14"/>
      <c r="L49" s="14"/>
      <c r="M49" s="14"/>
      <c r="N49" s="14"/>
      <c r="O49" s="14"/>
      <c r="P49" s="14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2.75">
      <c r="A50" s="1" t="s">
        <v>143</v>
      </c>
      <c r="B50" s="1"/>
      <c r="C50" s="1"/>
      <c r="D50" s="1"/>
      <c r="E50" s="1"/>
      <c r="F50" s="1"/>
      <c r="G50" s="1"/>
      <c r="H50" s="1"/>
      <c r="I50" s="1"/>
      <c r="J50" s="1"/>
      <c r="K50" s="14"/>
      <c r="L50" s="14"/>
      <c r="M50" s="14"/>
      <c r="N50" s="14"/>
      <c r="O50" s="14"/>
      <c r="P50" s="14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2.75">
      <c r="A51" s="5" t="s">
        <v>66</v>
      </c>
      <c r="B51" s="1" t="s">
        <v>117</v>
      </c>
      <c r="C51" s="1">
        <v>6</v>
      </c>
      <c r="D51" s="1"/>
      <c r="E51" s="1" t="s">
        <v>133</v>
      </c>
      <c r="F51" s="1"/>
      <c r="G51" s="1"/>
      <c r="H51" s="1"/>
      <c r="I51" s="1"/>
      <c r="J51" s="1"/>
      <c r="K51" s="14"/>
      <c r="L51" s="14"/>
      <c r="M51" s="14"/>
      <c r="N51" s="14"/>
      <c r="O51" s="14"/>
      <c r="P51" s="14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2.75">
      <c r="A52" s="5" t="s">
        <v>70</v>
      </c>
      <c r="B52" s="1" t="s">
        <v>117</v>
      </c>
      <c r="C52" s="1">
        <v>8</v>
      </c>
      <c r="D52" s="1"/>
      <c r="E52" s="1" t="s">
        <v>133</v>
      </c>
      <c r="F52" s="1">
        <v>5</v>
      </c>
      <c r="G52" s="1">
        <v>5</v>
      </c>
      <c r="H52" s="1">
        <v>5</v>
      </c>
      <c r="I52" s="1">
        <v>5</v>
      </c>
      <c r="J52" s="1">
        <v>5</v>
      </c>
      <c r="K52" s="14"/>
      <c r="L52" s="14"/>
      <c r="M52" s="14"/>
      <c r="N52" s="14"/>
      <c r="O52" s="14"/>
      <c r="P52" s="14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2.75">
      <c r="A53" s="5" t="s">
        <v>108</v>
      </c>
      <c r="B53" s="1" t="s">
        <v>119</v>
      </c>
      <c r="C53" s="1">
        <v>5</v>
      </c>
      <c r="D53" s="1"/>
      <c r="E53" s="1" t="s">
        <v>122</v>
      </c>
      <c r="F53" s="1"/>
      <c r="G53" s="1"/>
      <c r="H53" s="1"/>
      <c r="I53" s="1"/>
      <c r="J53" s="1"/>
      <c r="K53" s="14"/>
      <c r="L53" s="14"/>
      <c r="M53" s="14"/>
      <c r="N53" s="14"/>
      <c r="O53" s="14"/>
      <c r="P53" s="14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2.75">
      <c r="A54" s="5" t="s">
        <v>144</v>
      </c>
      <c r="B54" s="1" t="s">
        <v>119</v>
      </c>
      <c r="C54" s="1">
        <v>4</v>
      </c>
      <c r="D54" s="1">
        <v>2</v>
      </c>
      <c r="E54" s="1" t="s">
        <v>122</v>
      </c>
      <c r="F54" s="1"/>
      <c r="G54" s="1"/>
      <c r="H54" s="1"/>
      <c r="I54" s="1"/>
      <c r="J54" s="1"/>
      <c r="K54" s="14"/>
      <c r="L54" s="14"/>
      <c r="M54" s="14"/>
      <c r="N54" s="14"/>
      <c r="O54" s="14"/>
      <c r="P54" s="14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2.75">
      <c r="A55" s="5" t="s">
        <v>145</v>
      </c>
      <c r="B55" s="1" t="s">
        <v>119</v>
      </c>
      <c r="C55" s="1">
        <v>4</v>
      </c>
      <c r="D55" s="1">
        <v>2</v>
      </c>
      <c r="E55" s="1" t="s">
        <v>122</v>
      </c>
      <c r="F55" s="1">
        <v>10</v>
      </c>
      <c r="G55" s="1">
        <v>10</v>
      </c>
      <c r="H55" s="1">
        <v>10</v>
      </c>
      <c r="I55" s="1">
        <v>10</v>
      </c>
      <c r="J55" s="1">
        <v>10</v>
      </c>
      <c r="K55" s="14"/>
      <c r="L55" s="14"/>
      <c r="M55" s="14"/>
      <c r="N55" s="14"/>
      <c r="O55" s="14"/>
      <c r="P55" s="14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.75">
      <c r="A56" s="1" t="s">
        <v>146</v>
      </c>
      <c r="B56" s="1"/>
      <c r="C56" s="1"/>
      <c r="D56" s="1"/>
      <c r="E56" s="1"/>
      <c r="F56" s="1"/>
      <c r="G56" s="1"/>
      <c r="H56" s="1"/>
      <c r="I56" s="1"/>
      <c r="J56" s="1"/>
      <c r="K56" s="14"/>
      <c r="L56" s="14"/>
      <c r="M56" s="14"/>
      <c r="N56" s="14"/>
      <c r="O56" s="14"/>
      <c r="P56" s="14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2.75">
      <c r="A57" s="5" t="s">
        <v>147</v>
      </c>
      <c r="B57" s="1" t="s">
        <v>119</v>
      </c>
      <c r="C57" s="1">
        <v>6</v>
      </c>
      <c r="D57" s="1"/>
      <c r="E57" s="1" t="s">
        <v>123</v>
      </c>
      <c r="F57" s="1">
        <v>15</v>
      </c>
      <c r="G57" s="1">
        <v>15</v>
      </c>
      <c r="H57" s="1">
        <v>15</v>
      </c>
      <c r="I57" s="1">
        <v>15</v>
      </c>
      <c r="J57" s="1">
        <v>15</v>
      </c>
      <c r="K57" s="14"/>
      <c r="L57" s="14"/>
      <c r="M57" s="14"/>
      <c r="N57" s="14"/>
      <c r="O57" s="14"/>
      <c r="P57" s="14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2.75">
      <c r="A58" s="5" t="s">
        <v>97</v>
      </c>
      <c r="B58" s="1" t="s">
        <v>127</v>
      </c>
      <c r="C58" s="1">
        <v>6</v>
      </c>
      <c r="D58" s="1"/>
      <c r="E58" s="1" t="s">
        <v>96</v>
      </c>
      <c r="F58" s="1"/>
      <c r="G58" s="1"/>
      <c r="H58" s="1"/>
      <c r="I58" s="1"/>
      <c r="J58" s="1"/>
      <c r="K58" s="14"/>
      <c r="L58" s="14"/>
      <c r="M58" s="14"/>
      <c r="N58" s="14"/>
      <c r="O58" s="14"/>
      <c r="P58" s="14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2.75">
      <c r="A59" s="5" t="s">
        <v>65</v>
      </c>
      <c r="B59" s="1" t="s">
        <v>119</v>
      </c>
      <c r="C59" s="1">
        <v>1</v>
      </c>
      <c r="D59" s="1">
        <v>1</v>
      </c>
      <c r="E59" s="1" t="s">
        <v>123</v>
      </c>
      <c r="F59" s="1"/>
      <c r="G59" s="1"/>
      <c r="H59" s="1"/>
      <c r="I59" s="1"/>
      <c r="J59" s="1"/>
      <c r="K59" s="14"/>
      <c r="L59" s="14"/>
      <c r="M59" s="14"/>
      <c r="N59" s="14"/>
      <c r="O59" s="14"/>
      <c r="P59" s="14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2.75">
      <c r="A60" s="5" t="s">
        <v>23</v>
      </c>
      <c r="B60" s="1" t="s">
        <v>127</v>
      </c>
      <c r="C60" s="1">
        <v>1</v>
      </c>
      <c r="D60" s="1">
        <v>1</v>
      </c>
      <c r="E60" s="1" t="s">
        <v>133</v>
      </c>
      <c r="F60" s="1"/>
      <c r="G60" s="1"/>
      <c r="H60" s="1"/>
      <c r="I60" s="1"/>
      <c r="J60" s="1"/>
      <c r="K60" s="14"/>
      <c r="L60" s="14"/>
      <c r="M60" s="14"/>
      <c r="N60" s="14"/>
      <c r="O60" s="14"/>
      <c r="P60" s="14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2.75">
      <c r="A61" s="5" t="s">
        <v>111</v>
      </c>
      <c r="B61" s="1" t="s">
        <v>119</v>
      </c>
      <c r="C61" s="1">
        <v>4</v>
      </c>
      <c r="D61" s="1">
        <v>2</v>
      </c>
      <c r="E61" s="1" t="s">
        <v>138</v>
      </c>
      <c r="F61" s="1">
        <v>4</v>
      </c>
      <c r="G61" s="1">
        <v>4</v>
      </c>
      <c r="H61" s="1">
        <v>4</v>
      </c>
      <c r="I61" s="1">
        <v>4</v>
      </c>
      <c r="J61" s="1">
        <v>4</v>
      </c>
      <c r="K61" s="14"/>
      <c r="L61" s="14"/>
      <c r="M61" s="14"/>
      <c r="N61" s="14"/>
      <c r="O61" s="14"/>
      <c r="P61" s="14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2.75">
      <c r="A62" s="5" t="s">
        <v>73</v>
      </c>
      <c r="B62" s="1" t="s">
        <v>119</v>
      </c>
      <c r="C62" s="1">
        <v>3</v>
      </c>
      <c r="D62" s="1">
        <v>2</v>
      </c>
      <c r="E62" s="1" t="s">
        <v>119</v>
      </c>
      <c r="F62" s="1"/>
      <c r="G62" s="1"/>
      <c r="H62" s="1"/>
      <c r="I62" s="1"/>
      <c r="J62" s="1"/>
      <c r="K62" s="14"/>
      <c r="L62" s="14"/>
      <c r="M62" s="14"/>
      <c r="N62" s="14"/>
      <c r="O62" s="14"/>
      <c r="P62" s="14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2.75">
      <c r="A63" s="5" t="s">
        <v>21</v>
      </c>
      <c r="B63" s="1" t="s">
        <v>119</v>
      </c>
      <c r="C63" s="1">
        <v>2</v>
      </c>
      <c r="D63" s="1">
        <v>2</v>
      </c>
      <c r="E63" s="1" t="s">
        <v>122</v>
      </c>
      <c r="F63" s="1"/>
      <c r="G63" s="1"/>
      <c r="H63" s="1"/>
      <c r="I63" s="1"/>
      <c r="J63" s="1"/>
      <c r="K63" s="14"/>
      <c r="L63" s="14"/>
      <c r="M63" s="14"/>
      <c r="N63" s="14"/>
      <c r="O63" s="14"/>
      <c r="P63" s="14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2.75">
      <c r="A64" s="5" t="s">
        <v>92</v>
      </c>
      <c r="B64" s="1" t="s">
        <v>119</v>
      </c>
      <c r="C64" s="1">
        <v>5</v>
      </c>
      <c r="D64" s="1"/>
      <c r="E64" s="1" t="s">
        <v>123</v>
      </c>
      <c r="F64" s="1"/>
      <c r="G64" s="1"/>
      <c r="H64" s="1"/>
      <c r="I64" s="1"/>
      <c r="J64" s="1"/>
      <c r="K64" s="14"/>
      <c r="L64" s="14"/>
      <c r="M64" s="14"/>
      <c r="N64" s="14"/>
      <c r="O64" s="14"/>
      <c r="P64" s="14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2.75">
      <c r="A65" s="5" t="s">
        <v>72</v>
      </c>
      <c r="B65" s="1" t="s">
        <v>127</v>
      </c>
      <c r="C65" s="1">
        <v>1</v>
      </c>
      <c r="D65" s="1">
        <v>1</v>
      </c>
      <c r="E65" s="1" t="s">
        <v>138</v>
      </c>
      <c r="F65" s="1">
        <v>3</v>
      </c>
      <c r="G65" s="1">
        <v>3</v>
      </c>
      <c r="H65" s="1">
        <v>3</v>
      </c>
      <c r="I65" s="1">
        <v>3</v>
      </c>
      <c r="J65" s="1">
        <v>3</v>
      </c>
      <c r="K65" s="14"/>
      <c r="L65" s="14"/>
      <c r="M65" s="14"/>
      <c r="N65" s="14"/>
      <c r="O65" s="14"/>
      <c r="P65" s="14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2.75">
      <c r="A66" s="5" t="s">
        <v>67</v>
      </c>
      <c r="B66" s="1" t="s">
        <v>119</v>
      </c>
      <c r="C66" s="1">
        <v>1</v>
      </c>
      <c r="D66" s="1">
        <v>1</v>
      </c>
      <c r="E66" s="1" t="s">
        <v>122</v>
      </c>
      <c r="F66" s="1"/>
      <c r="G66" s="1"/>
      <c r="H66" s="1"/>
      <c r="I66" s="1"/>
      <c r="J66" s="1"/>
      <c r="K66" s="14"/>
      <c r="L66" s="14"/>
      <c r="M66" s="14"/>
      <c r="N66" s="14"/>
      <c r="O66" s="14"/>
      <c r="P66" s="14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2.75">
      <c r="A67" s="5" t="s">
        <v>148</v>
      </c>
      <c r="B67" s="1" t="s">
        <v>119</v>
      </c>
      <c r="C67" s="1">
        <v>2</v>
      </c>
      <c r="D67" s="1">
        <v>2</v>
      </c>
      <c r="E67" s="1" t="s">
        <v>123</v>
      </c>
      <c r="F67" s="1"/>
      <c r="G67" s="1"/>
      <c r="H67" s="1"/>
      <c r="I67" s="1"/>
      <c r="J67" s="1"/>
      <c r="K67" s="14"/>
      <c r="L67" s="14"/>
      <c r="M67" s="14"/>
      <c r="N67" s="14"/>
      <c r="O67" s="14"/>
      <c r="P67" s="14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2.75">
      <c r="A68" s="1" t="s">
        <v>149</v>
      </c>
      <c r="B68" s="1"/>
      <c r="C68" s="1"/>
      <c r="D68" s="1"/>
      <c r="E68" s="1"/>
      <c r="F68" s="1"/>
      <c r="G68" s="1"/>
      <c r="H68" s="1"/>
      <c r="I68" s="1"/>
      <c r="J68" s="1"/>
      <c r="K68" s="14"/>
      <c r="L68" s="14"/>
      <c r="M68" s="14"/>
      <c r="N68" s="14"/>
      <c r="O68" s="14"/>
      <c r="P68" s="14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2.75">
      <c r="A69" s="5" t="s">
        <v>150</v>
      </c>
      <c r="B69" s="1" t="s">
        <v>121</v>
      </c>
      <c r="C69" s="1">
        <v>6</v>
      </c>
      <c r="D69" s="1"/>
      <c r="E69" s="1" t="s">
        <v>119</v>
      </c>
      <c r="F69" s="1"/>
      <c r="G69" s="1"/>
      <c r="H69" s="1"/>
      <c r="I69" s="1"/>
      <c r="J69" s="1"/>
      <c r="K69" s="14"/>
      <c r="L69" s="14"/>
      <c r="M69" s="14"/>
      <c r="N69" s="14"/>
      <c r="O69" s="14"/>
      <c r="P69" s="14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2.75">
      <c r="A70" s="5" t="s">
        <v>109</v>
      </c>
      <c r="B70" s="1" t="s">
        <v>121</v>
      </c>
      <c r="C70" s="1">
        <v>6</v>
      </c>
      <c r="D70" s="1"/>
      <c r="E70" s="1" t="s">
        <v>133</v>
      </c>
      <c r="F70" s="1">
        <v>15</v>
      </c>
      <c r="G70" s="1">
        <v>15</v>
      </c>
      <c r="H70" s="1">
        <v>15</v>
      </c>
      <c r="I70" s="1">
        <v>15</v>
      </c>
      <c r="J70" s="1">
        <v>15</v>
      </c>
      <c r="K70" s="14"/>
      <c r="L70" s="14"/>
      <c r="M70" s="14"/>
      <c r="N70" s="14"/>
      <c r="O70" s="14"/>
      <c r="P70" s="14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2.75">
      <c r="A71" s="5" t="s">
        <v>110</v>
      </c>
      <c r="B71" s="1" t="s">
        <v>118</v>
      </c>
      <c r="C71" s="1">
        <v>8</v>
      </c>
      <c r="D71" s="1"/>
      <c r="E71" s="1" t="s">
        <v>133</v>
      </c>
      <c r="F71" s="1"/>
      <c r="G71" s="1"/>
      <c r="H71" s="1"/>
      <c r="I71" s="1"/>
      <c r="J71" s="1"/>
      <c r="K71" s="14"/>
      <c r="L71" s="14"/>
      <c r="M71" s="14"/>
      <c r="N71" s="14"/>
      <c r="O71" s="14"/>
      <c r="P71" s="14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2.75">
      <c r="A72" s="5" t="s">
        <v>68</v>
      </c>
      <c r="B72" s="1" t="s">
        <v>118</v>
      </c>
      <c r="C72" s="1">
        <v>7</v>
      </c>
      <c r="D72" s="1"/>
      <c r="E72" s="1" t="s">
        <v>119</v>
      </c>
      <c r="F72" s="1"/>
      <c r="G72" s="1"/>
      <c r="H72" s="1"/>
      <c r="I72" s="1"/>
      <c r="J72" s="1"/>
      <c r="K72" s="14"/>
      <c r="L72" s="14"/>
      <c r="M72" s="14"/>
      <c r="N72" s="14"/>
      <c r="O72" s="14"/>
      <c r="P72" s="14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2.75">
      <c r="A73" s="5" t="s">
        <v>22</v>
      </c>
      <c r="B73" s="1" t="s">
        <v>119</v>
      </c>
      <c r="C73" s="1">
        <v>0</v>
      </c>
      <c r="D73" s="1">
        <v>1</v>
      </c>
      <c r="E73" s="1" t="s">
        <v>122</v>
      </c>
      <c r="F73" s="1">
        <v>2</v>
      </c>
      <c r="G73" s="1">
        <v>2</v>
      </c>
      <c r="H73" s="1">
        <v>2</v>
      </c>
      <c r="I73" s="1">
        <v>2</v>
      </c>
      <c r="J73" s="1">
        <v>2</v>
      </c>
      <c r="K73" s="14"/>
      <c r="L73" s="14"/>
      <c r="M73" s="14"/>
      <c r="N73" s="14"/>
      <c r="O73" s="14"/>
      <c r="P73" s="14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.75">
      <c r="A74" s="5" t="s">
        <v>89</v>
      </c>
      <c r="B74" s="1" t="s">
        <v>127</v>
      </c>
      <c r="C74" s="1">
        <v>2</v>
      </c>
      <c r="D74" s="1">
        <v>2</v>
      </c>
      <c r="E74" s="1" t="s">
        <v>133</v>
      </c>
      <c r="F74" s="1"/>
      <c r="G74" s="1"/>
      <c r="H74" s="1"/>
      <c r="I74" s="1"/>
      <c r="J74" s="1"/>
      <c r="K74" s="14"/>
      <c r="L74" s="14"/>
      <c r="M74" s="14"/>
      <c r="N74" s="14"/>
      <c r="O74" s="14"/>
      <c r="P74" s="14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>
      <c r="A75" s="5" t="s">
        <v>90</v>
      </c>
      <c r="B75" s="1" t="s">
        <v>127</v>
      </c>
      <c r="C75" s="1">
        <v>6</v>
      </c>
      <c r="D75" s="1"/>
      <c r="E75" s="1" t="s">
        <v>133</v>
      </c>
      <c r="F75" s="1"/>
      <c r="G75" s="1"/>
      <c r="H75" s="1"/>
      <c r="I75" s="1"/>
      <c r="J75" s="1"/>
      <c r="K75" s="14"/>
      <c r="L75" s="14"/>
      <c r="M75" s="14"/>
      <c r="N75" s="14"/>
      <c r="O75" s="14"/>
      <c r="P75" s="14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.75">
      <c r="A76" s="5" t="s">
        <v>151</v>
      </c>
      <c r="B76" s="1" t="s">
        <v>119</v>
      </c>
      <c r="C76" s="1">
        <v>6</v>
      </c>
      <c r="D76" s="1"/>
      <c r="E76" s="1" t="s">
        <v>123</v>
      </c>
      <c r="F76" s="1">
        <v>3</v>
      </c>
      <c r="G76" s="1">
        <v>3</v>
      </c>
      <c r="H76" s="1">
        <v>3</v>
      </c>
      <c r="I76" s="1">
        <v>3</v>
      </c>
      <c r="J76" s="1">
        <v>3</v>
      </c>
      <c r="K76" s="14"/>
      <c r="L76" s="14"/>
      <c r="M76" s="14"/>
      <c r="N76" s="14"/>
      <c r="O76" s="14"/>
      <c r="P76" s="14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>
      <c r="A77" s="5" t="s">
        <v>152</v>
      </c>
      <c r="B77" s="1" t="s">
        <v>121</v>
      </c>
      <c r="C77" s="1">
        <v>4</v>
      </c>
      <c r="D77" s="1">
        <v>2</v>
      </c>
      <c r="E77" s="1" t="s">
        <v>138</v>
      </c>
      <c r="F77" s="1"/>
      <c r="G77" s="1"/>
      <c r="H77" s="1"/>
      <c r="I77" s="1"/>
      <c r="J77" s="1"/>
      <c r="K77" s="14"/>
      <c r="L77" s="14"/>
      <c r="M77" s="14"/>
      <c r="N77" s="14"/>
      <c r="O77" s="14"/>
      <c r="P77" s="14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16" ht="12.75">
      <c r="A78" s="1"/>
      <c r="B78" s="1"/>
      <c r="C78" s="1"/>
      <c r="D78" s="1"/>
      <c r="E78" s="1"/>
      <c r="F78" s="1"/>
      <c r="G78" s="1"/>
      <c r="H78" s="1"/>
      <c r="I78" s="13"/>
      <c r="J78" s="1"/>
      <c r="K78" s="14"/>
      <c r="L78" s="14"/>
      <c r="M78" s="14"/>
      <c r="N78" s="14"/>
      <c r="O78" s="14"/>
      <c r="P78" s="14"/>
    </row>
    <row r="79" spans="1:16" ht="12.75">
      <c r="A79" s="1"/>
      <c r="B79" s="1"/>
      <c r="C79" s="1"/>
      <c r="D79" s="1"/>
      <c r="E79" s="1"/>
      <c r="F79" s="1"/>
      <c r="G79" s="1"/>
      <c r="H79" s="1"/>
      <c r="I79" s="13"/>
      <c r="J79" s="1"/>
      <c r="K79" s="14"/>
      <c r="L79" s="14"/>
      <c r="M79" s="14"/>
      <c r="N79" s="14"/>
      <c r="O79" s="14"/>
      <c r="P79" s="14"/>
    </row>
    <row r="80" spans="1:16" ht="12.75">
      <c r="A80" s="1" t="s">
        <v>153</v>
      </c>
      <c r="B80" s="1"/>
      <c r="C80" s="1"/>
      <c r="D80" s="1"/>
      <c r="E80" s="1"/>
      <c r="F80" s="1">
        <f>COUNT(F8:F77)</f>
        <v>17</v>
      </c>
      <c r="G80" s="1">
        <f>COUNT(G8:G77)</f>
        <v>17</v>
      </c>
      <c r="H80" s="1">
        <f>COUNT(H8:H77)</f>
        <v>17</v>
      </c>
      <c r="I80" s="13">
        <f>COUNT(I8:I77)</f>
        <v>17</v>
      </c>
      <c r="J80" s="1">
        <f>COUNT(J8:J77)</f>
        <v>17</v>
      </c>
      <c r="K80" s="14"/>
      <c r="L80" s="14"/>
      <c r="M80" s="14"/>
      <c r="N80" s="14"/>
      <c r="O80" s="14"/>
      <c r="P80" s="14"/>
    </row>
    <row r="81" spans="1:16" ht="12.75">
      <c r="A81" t="s">
        <v>154</v>
      </c>
      <c r="F81">
        <f>SUM(F8:F77)</f>
        <v>101</v>
      </c>
      <c r="G81">
        <f>SUM(G8:G77)</f>
        <v>101</v>
      </c>
      <c r="H81">
        <f>SUM(H8:H77)</f>
        <v>101</v>
      </c>
      <c r="I81">
        <f>SUM(I8:I77)</f>
        <v>101</v>
      </c>
      <c r="J81" s="12">
        <f>SUM(J8:J77)</f>
        <v>101</v>
      </c>
      <c r="K81" s="14"/>
      <c r="L81" s="14"/>
      <c r="M81" s="14"/>
      <c r="N81" s="14"/>
      <c r="O81" s="14"/>
      <c r="P81" s="14"/>
    </row>
    <row r="82" spans="1:13" ht="12.75">
      <c r="A82" s="1"/>
      <c r="B82" s="1"/>
      <c r="C82" s="1"/>
      <c r="D82" s="1"/>
      <c r="E82" s="1"/>
      <c r="F82" s="1"/>
      <c r="G82" s="1"/>
      <c r="H82" s="14"/>
      <c r="I82" s="14"/>
      <c r="J82" s="14"/>
      <c r="K82" s="14"/>
      <c r="L82" s="14"/>
      <c r="M82" s="14"/>
    </row>
    <row r="83" spans="1:13" ht="12.75">
      <c r="A83" s="5" t="s">
        <v>11</v>
      </c>
      <c r="B83" s="12" t="s">
        <v>189</v>
      </c>
      <c r="C83" s="12" t="s">
        <v>190</v>
      </c>
      <c r="D83" s="12" t="s">
        <v>191</v>
      </c>
      <c r="E83" s="12" t="s">
        <v>192</v>
      </c>
      <c r="F83" s="12" t="s">
        <v>193</v>
      </c>
      <c r="H83" s="14"/>
      <c r="I83" s="14"/>
      <c r="J83" s="14"/>
      <c r="K83" s="14"/>
      <c r="L83" s="14"/>
      <c r="M83" s="14"/>
    </row>
    <row r="84" spans="1:13" ht="12.75">
      <c r="A84" s="1"/>
      <c r="B84" s="1" t="s">
        <v>194</v>
      </c>
      <c r="C84" s="1" t="s">
        <v>194</v>
      </c>
      <c r="D84" s="1" t="s">
        <v>194</v>
      </c>
      <c r="E84" s="1" t="s">
        <v>194</v>
      </c>
      <c r="F84" s="1" t="s">
        <v>194</v>
      </c>
      <c r="H84" s="14"/>
      <c r="I84" s="14"/>
      <c r="J84" s="14"/>
      <c r="K84" s="14"/>
      <c r="L84" s="14"/>
      <c r="M84" s="14"/>
    </row>
    <row r="85" spans="1:13" ht="12.75">
      <c r="A85" s="1"/>
      <c r="B85" s="18" t="s">
        <v>102</v>
      </c>
      <c r="C85" s="18" t="s">
        <v>102</v>
      </c>
      <c r="D85" s="18" t="s">
        <v>102</v>
      </c>
      <c r="E85" s="18" t="s">
        <v>102</v>
      </c>
      <c r="F85" s="18" t="s">
        <v>102</v>
      </c>
      <c r="H85" s="14"/>
      <c r="I85" s="14"/>
      <c r="J85" s="14"/>
      <c r="K85" s="14"/>
      <c r="L85" s="14"/>
      <c r="M85" s="14"/>
    </row>
    <row r="86" spans="1:13" ht="12.75">
      <c r="A86" s="1" t="s">
        <v>155</v>
      </c>
      <c r="B86" s="1">
        <f>SUM(F9:F77)</f>
        <v>101</v>
      </c>
      <c r="C86" s="1">
        <f>SUM(G9:G77)</f>
        <v>101</v>
      </c>
      <c r="D86" s="1">
        <f>SUM(H9:H77)</f>
        <v>101</v>
      </c>
      <c r="E86" s="1">
        <f>SUM(I9:I77)</f>
        <v>101</v>
      </c>
      <c r="F86" s="1">
        <f>SUM(J9:J77)</f>
        <v>101</v>
      </c>
      <c r="H86" s="14"/>
      <c r="I86" s="14"/>
      <c r="J86" s="14"/>
      <c r="K86" s="14"/>
      <c r="L86" s="14"/>
      <c r="M86" s="14"/>
    </row>
    <row r="87" spans="1:13" ht="12.75">
      <c r="A87" s="1" t="s">
        <v>156</v>
      </c>
      <c r="B87" s="1">
        <f>COUNT(F21:F30,F38:F44,F57:F67)</f>
        <v>8</v>
      </c>
      <c r="C87" s="1">
        <f>COUNT(G21:G30,G38:G44,G57:G67)</f>
        <v>8</v>
      </c>
      <c r="D87" s="1">
        <f>COUNT(H21:H30,H38:H44,H57:H67)</f>
        <v>8</v>
      </c>
      <c r="E87" s="1">
        <f>COUNT(I21:I30,I38:I44,I57:I67)</f>
        <v>8</v>
      </c>
      <c r="F87" s="1">
        <f>COUNT(J21:J30,J38:J44,J57:J67)</f>
        <v>8</v>
      </c>
      <c r="H87" s="14"/>
      <c r="I87" s="14"/>
      <c r="J87" s="14"/>
      <c r="K87" s="14"/>
      <c r="L87" s="14"/>
      <c r="M87" s="14"/>
    </row>
    <row r="88" spans="1:13" ht="12.75">
      <c r="A88" s="1" t="s">
        <v>157</v>
      </c>
      <c r="B88" s="2">
        <f>SUM(F21:F30,F38:F44,F57:F67)/B86*100</f>
        <v>59.4059405940594</v>
      </c>
      <c r="C88" s="2">
        <f>SUM(G21:G30,G38:G44,G57:G67)/C86*100</f>
        <v>59.4059405940594</v>
      </c>
      <c r="D88" s="2">
        <f>SUM(H21:H30,H38:H44,H57:H67)/D86*100</f>
        <v>59.4059405940594</v>
      </c>
      <c r="E88" s="2">
        <f>SUM(I21:I30,I38:I44,I57:I67)/E86*100</f>
        <v>59.4059405940594</v>
      </c>
      <c r="F88" s="2">
        <f>SUM(J21:J30,J38:J44,J57:J67)/F86*100</f>
        <v>59.4059405940594</v>
      </c>
      <c r="H88" s="7"/>
      <c r="I88" s="7"/>
      <c r="J88" s="7"/>
      <c r="K88" s="7"/>
      <c r="L88" s="7"/>
      <c r="M88" s="14"/>
    </row>
    <row r="89" spans="1:13" ht="12.75">
      <c r="A89" s="1" t="s">
        <v>158</v>
      </c>
      <c r="B89" s="1">
        <f>COUNT(F9:F77)</f>
        <v>17</v>
      </c>
      <c r="C89" s="1">
        <f>COUNT(G9:G77)</f>
        <v>17</v>
      </c>
      <c r="D89" s="1">
        <f>COUNT(H9:H77)</f>
        <v>17</v>
      </c>
      <c r="E89" s="1">
        <f>COUNT(I9:I77)</f>
        <v>17</v>
      </c>
      <c r="F89" s="1">
        <f>COUNT(J9:J77)</f>
        <v>17</v>
      </c>
      <c r="H89" s="14"/>
      <c r="I89" s="14"/>
      <c r="J89" s="14"/>
      <c r="K89" s="14"/>
      <c r="L89" s="14"/>
      <c r="M89" s="14"/>
    </row>
    <row r="90" spans="1:13" ht="12.75">
      <c r="A90" s="1" t="s">
        <v>159</v>
      </c>
      <c r="B90" s="2">
        <f>1-((SUM(J110:J144))/((B86)*(B86-1)))</f>
        <v>0.9568316831683168</v>
      </c>
      <c r="C90" s="2">
        <f>1-((SUM(K110:K144))/((C86)*(C86-1)))</f>
        <v>0.9568316831683168</v>
      </c>
      <c r="D90" s="2">
        <f>1-((SUM(L110:L144))/((D86)*(D86-1)))</f>
        <v>0.9568316831683168</v>
      </c>
      <c r="E90" s="2">
        <f>1-((SUM(M110:M144))/((E86)*(E86-1)))</f>
        <v>0.9568316831683168</v>
      </c>
      <c r="F90" s="2">
        <f>1-((SUM(N110:N144))/((F86)*(F86-1)))</f>
        <v>0.9568316831683168</v>
      </c>
      <c r="H90" s="7"/>
      <c r="I90" s="7"/>
      <c r="J90" s="7"/>
      <c r="K90" s="7"/>
      <c r="L90" s="7"/>
      <c r="M90" s="14"/>
    </row>
    <row r="91" spans="1:13" ht="12.75">
      <c r="A91" s="1" t="s">
        <v>160</v>
      </c>
      <c r="B91" s="2">
        <f>SUMPRODUCT(F9:F77,$C$9:$C$77)/B86</f>
        <v>4.603960396039604</v>
      </c>
      <c r="C91" s="2">
        <f>SUMPRODUCT(G9:G77,$C$9:$C$77)/C86</f>
        <v>4.603960396039604</v>
      </c>
      <c r="D91" s="2">
        <f>SUMPRODUCT(H9:H77,$C$9:$C$77)/D86</f>
        <v>4.603960396039604</v>
      </c>
      <c r="E91" s="2">
        <f>SUMPRODUCT(I9:I77,$C$9:$C$77)/E86</f>
        <v>4.603960396039604</v>
      </c>
      <c r="F91" s="2">
        <f>SUMPRODUCT(J9:J77,$C$9:$C$77)/F86</f>
        <v>4.603960396039604</v>
      </c>
      <c r="H91" s="7"/>
      <c r="I91" s="7"/>
      <c r="J91" s="7"/>
      <c r="K91" s="7"/>
      <c r="L91" s="7"/>
      <c r="M91" s="14"/>
    </row>
    <row r="92" spans="1:13" ht="12.75">
      <c r="A92" s="1" t="s">
        <v>161</v>
      </c>
      <c r="B92" s="2">
        <f>(S8/B86)*100</f>
        <v>14.85148514851485</v>
      </c>
      <c r="C92" s="2">
        <f>(T8/C86)*100</f>
        <v>14.85148514851485</v>
      </c>
      <c r="D92" s="2">
        <f>(U8/D86)*100</f>
        <v>14.85148514851485</v>
      </c>
      <c r="E92" s="2">
        <f>(V8/E86)*100</f>
        <v>14.85148514851485</v>
      </c>
      <c r="F92" s="2">
        <f>(W8/F86)*100</f>
        <v>14.85148514851485</v>
      </c>
      <c r="H92" s="7"/>
      <c r="I92" s="7"/>
      <c r="J92" s="7"/>
      <c r="K92" s="7"/>
      <c r="L92" s="7"/>
      <c r="M92" s="14"/>
    </row>
    <row r="93" spans="1:13" ht="12.75">
      <c r="A93" s="1" t="s">
        <v>162</v>
      </c>
      <c r="B93" s="2">
        <f>SUM(S8:S10)/B86*100</f>
        <v>43.56435643564357</v>
      </c>
      <c r="C93" s="2">
        <f>SUM(T8:T10)/C86*100</f>
        <v>43.56435643564357</v>
      </c>
      <c r="D93" s="2">
        <f>SUM(U8:U10)/D86*100</f>
        <v>43.56435643564357</v>
      </c>
      <c r="E93" s="2">
        <f>SUM(V8:V10)/E86*100</f>
        <v>43.56435643564357</v>
      </c>
      <c r="F93" s="2">
        <f>SUM(W8:W10)/F86*100</f>
        <v>43.56435643564357</v>
      </c>
      <c r="H93" s="7"/>
      <c r="I93" s="7"/>
      <c r="J93" s="7"/>
      <c r="K93" s="7"/>
      <c r="L93" s="7"/>
      <c r="M93" s="14"/>
    </row>
    <row r="94" spans="1:13" ht="12.75">
      <c r="A94" s="1" t="s">
        <v>163</v>
      </c>
      <c r="B94" s="2">
        <f>SUM(S8:S12)/B86*100</f>
        <v>63.366336633663366</v>
      </c>
      <c r="C94" s="2">
        <f>SUM(T8:T12)/C86*100</f>
        <v>63.366336633663366</v>
      </c>
      <c r="D94" s="2">
        <f>SUM(U8:U12)/D86*100</f>
        <v>63.366336633663366</v>
      </c>
      <c r="E94" s="2">
        <f>SUM(V8:V12)/E86*100</f>
        <v>63.366336633663366</v>
      </c>
      <c r="F94" s="2">
        <f>SUM(W8:W12)/F86*100</f>
        <v>63.366336633663366</v>
      </c>
      <c r="H94" s="7"/>
      <c r="I94" s="7"/>
      <c r="J94" s="7"/>
      <c r="K94" s="7"/>
      <c r="L94" s="7"/>
      <c r="M94" s="14"/>
    </row>
    <row r="95" spans="1:13" ht="12.75">
      <c r="A95" s="1" t="s">
        <v>164</v>
      </c>
      <c r="B95" s="2">
        <f>F69/B86*100</f>
        <v>0</v>
      </c>
      <c r="C95" s="2">
        <f>G69/C86*100</f>
        <v>0</v>
      </c>
      <c r="D95" s="2">
        <f>H69/D86*100</f>
        <v>0</v>
      </c>
      <c r="E95" s="2">
        <f>I69/E86*100</f>
        <v>0</v>
      </c>
      <c r="F95" s="2">
        <f>J69/F86*100</f>
        <v>0</v>
      </c>
      <c r="H95" s="7"/>
      <c r="I95" s="7"/>
      <c r="J95" s="7"/>
      <c r="K95" s="7"/>
      <c r="L95" s="7"/>
      <c r="M95" s="14"/>
    </row>
    <row r="96" spans="1:13" ht="12.75">
      <c r="A96" s="1" t="s">
        <v>165</v>
      </c>
      <c r="B96" s="2">
        <f>(DSUM($A$7:$P$77,F7,$B$109:$B$113))/B86*100</f>
        <v>7.920792079207921</v>
      </c>
      <c r="C96" s="2">
        <f>(DSUM($A$7:$P$77,G7,$B$109:$B$113))/C86*100</f>
        <v>7.920792079207921</v>
      </c>
      <c r="D96" s="2">
        <f>(DSUM($A$7:$P$77,H7,$B$109:$B$113))/D86*100</f>
        <v>7.920792079207921</v>
      </c>
      <c r="E96" s="2">
        <f>(DSUM($A$7:$P$77,I7,$B$109:$B$113))/E86*100</f>
        <v>7.920792079207921</v>
      </c>
      <c r="F96" s="2">
        <f>(DSUM($A$7:$P$77,J7,$B$109:$B$113))/F86*100</f>
        <v>7.920792079207921</v>
      </c>
      <c r="H96" s="7"/>
      <c r="I96" s="7"/>
      <c r="J96" s="7"/>
      <c r="K96" s="7"/>
      <c r="L96" s="7"/>
      <c r="M96" s="14"/>
    </row>
    <row r="97" spans="1:13" ht="12.75">
      <c r="A97" s="1" t="s">
        <v>166</v>
      </c>
      <c r="B97" s="2">
        <f>(DSUM($A$7:$P$77,F7,$C$109:$C$113))/B86*100</f>
        <v>24.752475247524753</v>
      </c>
      <c r="C97" s="2">
        <f>(DSUM($A$7:$P$77,G7,$C$109:$C$113))/C86*100</f>
        <v>24.752475247524753</v>
      </c>
      <c r="D97" s="2">
        <f>(DSUM($A$7:$P$77,H7,$C$109:$C$113))/D86*100</f>
        <v>24.752475247524753</v>
      </c>
      <c r="E97" s="2">
        <f>(DSUM($A$7:$P$77,I7,$C$109:$C$113))/E86*100</f>
        <v>24.752475247524753</v>
      </c>
      <c r="F97" s="2">
        <f>(DSUM($A$7:$P$77,J7,$C$109:$C$113))/F86*100</f>
        <v>24.752475247524753</v>
      </c>
      <c r="H97" s="7"/>
      <c r="I97" s="7"/>
      <c r="J97" s="7"/>
      <c r="K97" s="7"/>
      <c r="L97" s="7"/>
      <c r="M97" s="14"/>
    </row>
    <row r="98" spans="1:13" ht="12.75">
      <c r="A98" s="1" t="s">
        <v>167</v>
      </c>
      <c r="B98" s="2">
        <f>(DSUM($A$7:$P$77,F7,$H$109:$H$111))/B86*100</f>
        <v>61.386138613861384</v>
      </c>
      <c r="C98" s="2">
        <f>(DSUM($A$7:$P$77,G7,$H$109:$H$111))/C86*100</f>
        <v>61.386138613861384</v>
      </c>
      <c r="D98" s="2">
        <f>(DSUM($A$7:$P$77,H7,$H$109:$H$111))/D86*100</f>
        <v>61.386138613861384</v>
      </c>
      <c r="E98" s="2">
        <f>(DSUM($A$7:$P$77,I7,$H$109:$H$111))/E86*100</f>
        <v>61.386138613861384</v>
      </c>
      <c r="F98" s="2">
        <f>(DSUM($A$7:$P$77,J7,$H$109:$H$111))/F86*100</f>
        <v>61.386138613861384</v>
      </c>
      <c r="H98" s="7"/>
      <c r="I98" s="7"/>
      <c r="J98" s="7"/>
      <c r="K98" s="7"/>
      <c r="L98" s="7"/>
      <c r="M98" s="14"/>
    </row>
    <row r="99" spans="1:13" ht="12.75">
      <c r="A99" s="1" t="s">
        <v>168</v>
      </c>
      <c r="B99" s="2">
        <f>(DSUM($A$7:$P$77,F7,$H$113:$H$115))/B86*100</f>
        <v>29.7029702970297</v>
      </c>
      <c r="C99" s="2">
        <f>(DSUM($A$7:$P$77,G7,$H$113:$H$115))/C86*100</f>
        <v>29.7029702970297</v>
      </c>
      <c r="D99" s="2">
        <f>(DSUM($A$7:$P$77,H7,$H$113:$H$115))/D86*100</f>
        <v>29.7029702970297</v>
      </c>
      <c r="E99" s="2">
        <f>(DSUM($A$7:$P$77,I7,$H$113:$H$115))/E86*100</f>
        <v>29.7029702970297</v>
      </c>
      <c r="F99" s="2">
        <f>(DSUM($A$7:$P$77,J7,$H$113:$H$115))/F86*100</f>
        <v>29.7029702970297</v>
      </c>
      <c r="H99" s="7"/>
      <c r="I99" s="7"/>
      <c r="J99" s="7"/>
      <c r="K99" s="7"/>
      <c r="L99" s="7"/>
      <c r="M99" s="14"/>
    </row>
    <row r="100" spans="1:13" ht="12.75">
      <c r="A100" s="1" t="s">
        <v>169</v>
      </c>
      <c r="B100" s="2">
        <f>(DSUM($A$7:$P$77,F7,$G$109:$G$110))/B86*100</f>
        <v>14.85148514851485</v>
      </c>
      <c r="C100" s="2">
        <f>(DSUM($A$7:$P$77,G7,$G$109:$G$110))/C86*100</f>
        <v>14.85148514851485</v>
      </c>
      <c r="D100" s="2">
        <f>(DSUM($A$7:$P$77,H7,$G$109:$G$110))/D86*100</f>
        <v>14.85148514851485</v>
      </c>
      <c r="E100" s="2">
        <f>(DSUM($A$7:$P$77,I7,$G$109:$G$110))/E86*100</f>
        <v>14.85148514851485</v>
      </c>
      <c r="F100" s="2">
        <f>(DSUM($A$7:$P$77,J7,$G$109:$G$110))/F86*100</f>
        <v>14.85148514851485</v>
      </c>
      <c r="H100" s="7"/>
      <c r="I100" s="7"/>
      <c r="J100" s="7"/>
      <c r="K100" s="7"/>
      <c r="L100" s="7"/>
      <c r="M100" s="14"/>
    </row>
    <row r="101" spans="1:13" ht="12.75">
      <c r="A101" s="1" t="s">
        <v>170</v>
      </c>
      <c r="B101" s="2">
        <f>(DSUM($A$7:$P$77,F7,$G$112:$G$113))/B86*100</f>
        <v>11.881188118811881</v>
      </c>
      <c r="C101" s="2">
        <f>(DSUM($A$7:$P$77,G7,$G$112:$G$113))/C86*100</f>
        <v>11.881188118811881</v>
      </c>
      <c r="D101" s="2">
        <f>(DSUM($A$7:$P$77,H7,$G$112:$G$113))/D86*100</f>
        <v>11.881188118811881</v>
      </c>
      <c r="E101" s="2">
        <f>(DSUM($A$7:$P$77,I7,$G$112:$G$113))/E86*100</f>
        <v>11.881188118811881</v>
      </c>
      <c r="F101" s="2">
        <f>(DSUM($A$7:$P$77,J7,$G$112:$G$113))/F86*100</f>
        <v>11.881188118811881</v>
      </c>
      <c r="H101" s="7"/>
      <c r="I101" s="7"/>
      <c r="J101" s="7"/>
      <c r="K101" s="7"/>
      <c r="L101" s="7"/>
      <c r="M101" s="14"/>
    </row>
    <row r="102" spans="1:13" ht="12.75">
      <c r="A102" s="1" t="s">
        <v>171</v>
      </c>
      <c r="B102" s="2">
        <f>(DSUM($A$7:$P$77,F7,$G$115:$G$116))/B86*100</f>
        <v>20.792079207920793</v>
      </c>
      <c r="C102" s="2">
        <f>(DSUM($A$7:$P$77,G7,$G$115:$G$116))/C86*100</f>
        <v>20.792079207920793</v>
      </c>
      <c r="D102" s="2">
        <f>(DSUM($A$7:$P$77,H7,$G$115:$G$116))/D86*100</f>
        <v>20.792079207920793</v>
      </c>
      <c r="E102" s="2">
        <f>(DSUM($A$7:$P$77,I7,$G$115:$G$116))/E86*100</f>
        <v>20.792079207920793</v>
      </c>
      <c r="F102" s="2">
        <f>(DSUM($A$7:$P$77,J7,$G$115:$G$116))/F86*100</f>
        <v>20.792079207920793</v>
      </c>
      <c r="H102" s="7"/>
      <c r="I102" s="7"/>
      <c r="J102" s="7"/>
      <c r="K102" s="7"/>
      <c r="L102" s="7"/>
      <c r="M102" s="14"/>
    </row>
    <row r="103" spans="1:13" ht="12.75">
      <c r="A103" s="1" t="s">
        <v>172</v>
      </c>
      <c r="B103" s="2">
        <f>(DSUM($A$7:$P$77,F7,$G$118:$G$119))/B86*100</f>
        <v>17.82178217821782</v>
      </c>
      <c r="C103" s="2">
        <f>(DSUM($A$7:$P$77,G7,$G$118:$G$119))/C86*100</f>
        <v>17.82178217821782</v>
      </c>
      <c r="D103" s="2">
        <f>(DSUM($A$7:$P$77,H7,$G$118:$G$119))/D86*100</f>
        <v>17.82178217821782</v>
      </c>
      <c r="E103" s="2">
        <f>(DSUM($A$7:$P$77,I7,$G$118:$G$119))/E86*100</f>
        <v>17.82178217821782</v>
      </c>
      <c r="F103" s="2">
        <f>(DSUM($A$7:$P$77,J7,$G$118:$G$119))/F86*100</f>
        <v>17.82178217821782</v>
      </c>
      <c r="H103" s="7"/>
      <c r="I103" s="7"/>
      <c r="J103" s="7"/>
      <c r="K103" s="7"/>
      <c r="L103" s="7"/>
      <c r="M103" s="14"/>
    </row>
    <row r="104" spans="1:13" ht="12.75">
      <c r="A104" s="1" t="s">
        <v>173</v>
      </c>
      <c r="B104" s="3">
        <f>COUNT(F21:F30)</f>
        <v>3</v>
      </c>
      <c r="C104" s="3">
        <f>COUNT(G21:G30)</f>
        <v>3</v>
      </c>
      <c r="D104" s="3">
        <f>COUNT(H21:H30)</f>
        <v>3</v>
      </c>
      <c r="E104" s="3">
        <f>COUNT(I21:I30)</f>
        <v>3</v>
      </c>
      <c r="F104" s="3">
        <f>COUNT(J21:J30)</f>
        <v>3</v>
      </c>
      <c r="H104" s="15"/>
      <c r="I104" s="15"/>
      <c r="J104" s="15"/>
      <c r="K104" s="15"/>
      <c r="L104" s="15"/>
      <c r="M104" s="14"/>
    </row>
    <row r="105" spans="1:13" ht="12.75">
      <c r="A105" s="1" t="s">
        <v>174</v>
      </c>
      <c r="B105" s="3">
        <f>COUNT(F38:F44)</f>
        <v>2</v>
      </c>
      <c r="C105" s="3">
        <f>COUNT(G38:G44)</f>
        <v>2</v>
      </c>
      <c r="D105" s="3">
        <f>COUNT(H38:H44)</f>
        <v>2</v>
      </c>
      <c r="E105" s="3">
        <f>COUNT(I38:I44)</f>
        <v>2</v>
      </c>
      <c r="F105" s="3">
        <f>COUNT(J38:J44)</f>
        <v>2</v>
      </c>
      <c r="H105" s="15"/>
      <c r="I105" s="15"/>
      <c r="J105" s="15"/>
      <c r="K105" s="15"/>
      <c r="L105" s="15"/>
      <c r="M105" s="14"/>
    </row>
    <row r="106" spans="1:13" ht="12.75">
      <c r="A106" s="1" t="s">
        <v>175</v>
      </c>
      <c r="B106" s="3">
        <f>COUNT(F57:F67)</f>
        <v>3</v>
      </c>
      <c r="C106" s="3">
        <f>COUNT(G57:G67)</f>
        <v>3</v>
      </c>
      <c r="D106" s="3">
        <f>COUNT(H57:H67)</f>
        <v>3</v>
      </c>
      <c r="E106" s="3">
        <f>COUNT(I57:I67)</f>
        <v>3</v>
      </c>
      <c r="F106" s="3">
        <f>COUNT(J57:J67)</f>
        <v>3</v>
      </c>
      <c r="H106" s="15"/>
      <c r="I106" s="15"/>
      <c r="J106" s="15"/>
      <c r="K106" s="15"/>
      <c r="L106" s="15"/>
      <c r="M106" s="14"/>
    </row>
    <row r="107" spans="1:13" ht="12.75">
      <c r="A107" s="19" t="s">
        <v>75</v>
      </c>
      <c r="B107" s="3">
        <f>DCOUNT($A$7:$P$77,F7,$C$109:$C$113)</f>
        <v>5</v>
      </c>
      <c r="C107" s="3">
        <f>DCOUNT($A$7:$P$77,G7,$C$109:$C$113)</f>
        <v>5</v>
      </c>
      <c r="D107" s="3">
        <f>DCOUNT($A$7:$P$77,H7,$C$109:$C$113)</f>
        <v>5</v>
      </c>
      <c r="E107" s="3">
        <f>DCOUNT($A$7:$P$77,I7,$C$109:$C$113)</f>
        <v>5</v>
      </c>
      <c r="F107" s="3">
        <f>DCOUNT($A$7:$P$77,J7,$C$109:$C$113)</f>
        <v>5</v>
      </c>
      <c r="H107" s="15"/>
      <c r="I107" s="15"/>
      <c r="J107" s="15"/>
      <c r="K107" s="15"/>
      <c r="L107" s="15"/>
      <c r="M107" s="14"/>
    </row>
    <row r="109" spans="2:8" ht="12.75">
      <c r="B109" t="s">
        <v>114</v>
      </c>
      <c r="C109" t="s">
        <v>114</v>
      </c>
      <c r="G109" t="s">
        <v>115</v>
      </c>
      <c r="H109" t="s">
        <v>113</v>
      </c>
    </row>
    <row r="110" spans="2:14" ht="12.75">
      <c r="B110">
        <v>7</v>
      </c>
      <c r="C110">
        <v>0</v>
      </c>
      <c r="G110" t="s">
        <v>119</v>
      </c>
      <c r="H110" t="s">
        <v>119</v>
      </c>
      <c r="J110">
        <f>F9*(F9-1)</f>
        <v>0</v>
      </c>
      <c r="K110">
        <f>G9*(G9-1)</f>
        <v>0</v>
      </c>
      <c r="L110">
        <f>H9*(H9-1)</f>
        <v>0</v>
      </c>
      <c r="M110">
        <f>I9*(I9-1)</f>
        <v>0</v>
      </c>
      <c r="N110">
        <f>J9*(J9-1)</f>
        <v>0</v>
      </c>
    </row>
    <row r="111" spans="2:14" ht="12.75">
      <c r="B111">
        <v>8</v>
      </c>
      <c r="C111">
        <v>1</v>
      </c>
      <c r="H111" t="s">
        <v>127</v>
      </c>
      <c r="J111">
        <f aca="true" t="shared" si="0" ref="J111:N114">F20*(F20-1)</f>
        <v>0</v>
      </c>
      <c r="K111">
        <f t="shared" si="0"/>
        <v>0</v>
      </c>
      <c r="L111">
        <f t="shared" si="0"/>
        <v>0</v>
      </c>
      <c r="M111">
        <f t="shared" si="0"/>
        <v>0</v>
      </c>
      <c r="N111">
        <f t="shared" si="0"/>
        <v>0</v>
      </c>
    </row>
    <row r="112" spans="2:14" ht="12.75">
      <c r="B112">
        <v>9</v>
      </c>
      <c r="C112">
        <v>2</v>
      </c>
      <c r="G112" t="s">
        <v>115</v>
      </c>
      <c r="J112">
        <f t="shared" si="0"/>
        <v>0</v>
      </c>
      <c r="K112">
        <f t="shared" si="0"/>
        <v>0</v>
      </c>
      <c r="L112">
        <f t="shared" si="0"/>
        <v>0</v>
      </c>
      <c r="M112">
        <f t="shared" si="0"/>
        <v>0</v>
      </c>
      <c r="N112">
        <f t="shared" si="0"/>
        <v>0</v>
      </c>
    </row>
    <row r="113" spans="2:14" ht="12.75">
      <c r="B113">
        <v>10</v>
      </c>
      <c r="C113">
        <v>3</v>
      </c>
      <c r="G113" t="s">
        <v>122</v>
      </c>
      <c r="H113" t="s">
        <v>113</v>
      </c>
      <c r="J113">
        <f t="shared" si="0"/>
        <v>12</v>
      </c>
      <c r="K113">
        <f t="shared" si="0"/>
        <v>12</v>
      </c>
      <c r="L113">
        <f t="shared" si="0"/>
        <v>12</v>
      </c>
      <c r="M113">
        <f t="shared" si="0"/>
        <v>12</v>
      </c>
      <c r="N113">
        <f t="shared" si="0"/>
        <v>12</v>
      </c>
    </row>
    <row r="114" spans="8:14" ht="12.75">
      <c r="H114" t="s">
        <v>118</v>
      </c>
      <c r="J114">
        <f t="shared" si="0"/>
        <v>0</v>
      </c>
      <c r="K114">
        <f t="shared" si="0"/>
        <v>0</v>
      </c>
      <c r="L114">
        <f t="shared" si="0"/>
        <v>0</v>
      </c>
      <c r="M114">
        <f t="shared" si="0"/>
        <v>0</v>
      </c>
      <c r="N114">
        <f t="shared" si="0"/>
        <v>0</v>
      </c>
    </row>
    <row r="115" spans="2:14" ht="12.75">
      <c r="B115" t="s">
        <v>187</v>
      </c>
      <c r="C115" t="s">
        <v>187</v>
      </c>
      <c r="G115" t="s">
        <v>115</v>
      </c>
      <c r="H115" t="s">
        <v>121</v>
      </c>
      <c r="J115">
        <f aca="true" t="shared" si="1" ref="J115:N117">F25*(F25-1)</f>
        <v>0</v>
      </c>
      <c r="K115">
        <f t="shared" si="1"/>
        <v>0</v>
      </c>
      <c r="L115">
        <f t="shared" si="1"/>
        <v>0</v>
      </c>
      <c r="M115">
        <f t="shared" si="1"/>
        <v>0</v>
      </c>
      <c r="N115">
        <f t="shared" si="1"/>
        <v>0</v>
      </c>
    </row>
    <row r="116" spans="2:14" ht="12.75">
      <c r="B116">
        <v>1</v>
      </c>
      <c r="C116">
        <v>2</v>
      </c>
      <c r="G116" t="s">
        <v>138</v>
      </c>
      <c r="J116">
        <f t="shared" si="1"/>
        <v>0</v>
      </c>
      <c r="K116">
        <f t="shared" si="1"/>
        <v>0</v>
      </c>
      <c r="L116">
        <f t="shared" si="1"/>
        <v>0</v>
      </c>
      <c r="M116">
        <f t="shared" si="1"/>
        <v>0</v>
      </c>
      <c r="N116">
        <f t="shared" si="1"/>
        <v>0</v>
      </c>
    </row>
    <row r="117" spans="10:14" ht="12.75">
      <c r="J117">
        <f t="shared" si="1"/>
        <v>0</v>
      </c>
      <c r="K117">
        <f t="shared" si="1"/>
        <v>0</v>
      </c>
      <c r="L117">
        <f t="shared" si="1"/>
        <v>0</v>
      </c>
      <c r="M117">
        <f t="shared" si="1"/>
        <v>0</v>
      </c>
      <c r="N117">
        <f t="shared" si="1"/>
        <v>0</v>
      </c>
    </row>
    <row r="118" spans="7:14" ht="12.75">
      <c r="G118" t="s">
        <v>115</v>
      </c>
      <c r="J118">
        <f aca="true" t="shared" si="2" ref="J118:N121">F31*(F31-1)</f>
        <v>0</v>
      </c>
      <c r="K118">
        <f t="shared" si="2"/>
        <v>0</v>
      </c>
      <c r="L118">
        <f t="shared" si="2"/>
        <v>0</v>
      </c>
      <c r="M118">
        <f t="shared" si="2"/>
        <v>0</v>
      </c>
      <c r="N118">
        <f t="shared" si="2"/>
        <v>0</v>
      </c>
    </row>
    <row r="119" spans="7:14" ht="12.75">
      <c r="G119" t="s">
        <v>123</v>
      </c>
      <c r="J119">
        <f t="shared" si="2"/>
        <v>0</v>
      </c>
      <c r="K119">
        <f t="shared" si="2"/>
        <v>0</v>
      </c>
      <c r="L119">
        <f t="shared" si="2"/>
        <v>0</v>
      </c>
      <c r="M119">
        <f t="shared" si="2"/>
        <v>0</v>
      </c>
      <c r="N119">
        <f t="shared" si="2"/>
        <v>0</v>
      </c>
    </row>
    <row r="120" spans="10:14" ht="12.75">
      <c r="J120">
        <f t="shared" si="2"/>
        <v>2</v>
      </c>
      <c r="K120">
        <f t="shared" si="2"/>
        <v>2</v>
      </c>
      <c r="L120">
        <f t="shared" si="2"/>
        <v>2</v>
      </c>
      <c r="M120">
        <f t="shared" si="2"/>
        <v>2</v>
      </c>
      <c r="N120">
        <f t="shared" si="2"/>
        <v>2</v>
      </c>
    </row>
    <row r="121" spans="10:14" ht="12.75">
      <c r="J121">
        <f t="shared" si="2"/>
        <v>0</v>
      </c>
      <c r="K121">
        <f t="shared" si="2"/>
        <v>0</v>
      </c>
      <c r="L121">
        <f t="shared" si="2"/>
        <v>0</v>
      </c>
      <c r="M121">
        <f t="shared" si="2"/>
        <v>0</v>
      </c>
      <c r="N121">
        <f t="shared" si="2"/>
        <v>0</v>
      </c>
    </row>
    <row r="122" spans="10:14" ht="12.75">
      <c r="J122">
        <f aca="true" t="shared" si="3" ref="J122:N123">F37*(F37-1)</f>
        <v>0</v>
      </c>
      <c r="K122">
        <f t="shared" si="3"/>
        <v>0</v>
      </c>
      <c r="L122">
        <f t="shared" si="3"/>
        <v>0</v>
      </c>
      <c r="M122">
        <f t="shared" si="3"/>
        <v>0</v>
      </c>
      <c r="N122">
        <f t="shared" si="3"/>
        <v>0</v>
      </c>
    </row>
    <row r="123" spans="10:14" ht="12.75">
      <c r="J123">
        <f t="shared" si="3"/>
        <v>90</v>
      </c>
      <c r="K123">
        <f t="shared" si="3"/>
        <v>90</v>
      </c>
      <c r="L123">
        <f t="shared" si="3"/>
        <v>90</v>
      </c>
      <c r="M123">
        <f t="shared" si="3"/>
        <v>90</v>
      </c>
      <c r="N123">
        <f t="shared" si="3"/>
        <v>90</v>
      </c>
    </row>
    <row r="124" spans="10:14" ht="12.75">
      <c r="J124">
        <f>F43*(F43-1)</f>
        <v>0</v>
      </c>
      <c r="K124">
        <f aca="true" t="shared" si="4" ref="K124:N125">G43*(G43-1)</f>
        <v>0</v>
      </c>
      <c r="L124">
        <f t="shared" si="4"/>
        <v>0</v>
      </c>
      <c r="M124">
        <f t="shared" si="4"/>
        <v>0</v>
      </c>
      <c r="N124">
        <f t="shared" si="4"/>
        <v>0</v>
      </c>
    </row>
    <row r="125" spans="10:14" ht="12.75">
      <c r="J125">
        <f>F44*(F44-1)</f>
        <v>0</v>
      </c>
      <c r="K125">
        <f t="shared" si="4"/>
        <v>0</v>
      </c>
      <c r="L125">
        <f t="shared" si="4"/>
        <v>0</v>
      </c>
      <c r="M125">
        <f t="shared" si="4"/>
        <v>0</v>
      </c>
      <c r="N125">
        <f t="shared" si="4"/>
        <v>0</v>
      </c>
    </row>
    <row r="126" spans="10:14" ht="12.75">
      <c r="J126">
        <f>F45*(F45-1)</f>
        <v>0</v>
      </c>
      <c r="K126">
        <f aca="true" t="shared" si="5" ref="K126:N127">G45*(G45-1)</f>
        <v>0</v>
      </c>
      <c r="L126">
        <f t="shared" si="5"/>
        <v>0</v>
      </c>
      <c r="M126">
        <f t="shared" si="5"/>
        <v>0</v>
      </c>
      <c r="N126">
        <f t="shared" si="5"/>
        <v>0</v>
      </c>
    </row>
    <row r="127" spans="10:14" ht="12.75">
      <c r="J127">
        <f>F46*(F46-1)</f>
        <v>0</v>
      </c>
      <c r="K127">
        <f t="shared" si="5"/>
        <v>0</v>
      </c>
      <c r="L127">
        <f t="shared" si="5"/>
        <v>0</v>
      </c>
      <c r="M127">
        <f t="shared" si="5"/>
        <v>0</v>
      </c>
      <c r="N127">
        <f t="shared" si="5"/>
        <v>0</v>
      </c>
    </row>
    <row r="128" spans="10:14" ht="12.75">
      <c r="J128">
        <f aca="true" t="shared" si="6" ref="J128:N130">F50*(F50-1)</f>
        <v>0</v>
      </c>
      <c r="K128">
        <f t="shared" si="6"/>
        <v>0</v>
      </c>
      <c r="L128">
        <f t="shared" si="6"/>
        <v>0</v>
      </c>
      <c r="M128">
        <f t="shared" si="6"/>
        <v>0</v>
      </c>
      <c r="N128">
        <f t="shared" si="6"/>
        <v>0</v>
      </c>
    </row>
    <row r="129" spans="10:14" ht="12.75">
      <c r="J129">
        <f t="shared" si="6"/>
        <v>0</v>
      </c>
      <c r="K129">
        <f t="shared" si="6"/>
        <v>0</v>
      </c>
      <c r="L129">
        <f t="shared" si="6"/>
        <v>0</v>
      </c>
      <c r="M129">
        <f t="shared" si="6"/>
        <v>0</v>
      </c>
      <c r="N129">
        <f t="shared" si="6"/>
        <v>0</v>
      </c>
    </row>
    <row r="130" spans="10:14" ht="12.75">
      <c r="J130">
        <f t="shared" si="6"/>
        <v>20</v>
      </c>
      <c r="K130">
        <f t="shared" si="6"/>
        <v>20</v>
      </c>
      <c r="L130">
        <f t="shared" si="6"/>
        <v>20</v>
      </c>
      <c r="M130">
        <f t="shared" si="6"/>
        <v>20</v>
      </c>
      <c r="N130">
        <f t="shared" si="6"/>
        <v>20</v>
      </c>
    </row>
    <row r="131" spans="10:14" ht="12.75">
      <c r="J131">
        <f aca="true" t="shared" si="7" ref="J131:N134">F54*(F54-1)</f>
        <v>0</v>
      </c>
      <c r="K131">
        <f t="shared" si="7"/>
        <v>0</v>
      </c>
      <c r="L131">
        <f t="shared" si="7"/>
        <v>0</v>
      </c>
      <c r="M131">
        <f t="shared" si="7"/>
        <v>0</v>
      </c>
      <c r="N131">
        <f t="shared" si="7"/>
        <v>0</v>
      </c>
    </row>
    <row r="132" spans="10:14" ht="12.75">
      <c r="J132">
        <f t="shared" si="7"/>
        <v>90</v>
      </c>
      <c r="K132">
        <f t="shared" si="7"/>
        <v>90</v>
      </c>
      <c r="L132">
        <f t="shared" si="7"/>
        <v>90</v>
      </c>
      <c r="M132">
        <f t="shared" si="7"/>
        <v>90</v>
      </c>
      <c r="N132">
        <f t="shared" si="7"/>
        <v>90</v>
      </c>
    </row>
    <row r="133" spans="10:14" ht="12.75">
      <c r="J133">
        <f t="shared" si="7"/>
        <v>0</v>
      </c>
      <c r="K133">
        <f t="shared" si="7"/>
        <v>0</v>
      </c>
      <c r="L133">
        <f t="shared" si="7"/>
        <v>0</v>
      </c>
      <c r="M133">
        <f t="shared" si="7"/>
        <v>0</v>
      </c>
      <c r="N133">
        <f t="shared" si="7"/>
        <v>0</v>
      </c>
    </row>
    <row r="134" spans="10:14" ht="12.75">
      <c r="J134">
        <f t="shared" si="7"/>
        <v>210</v>
      </c>
      <c r="K134">
        <f t="shared" si="7"/>
        <v>210</v>
      </c>
      <c r="L134">
        <f t="shared" si="7"/>
        <v>210</v>
      </c>
      <c r="M134">
        <f t="shared" si="7"/>
        <v>210</v>
      </c>
      <c r="N134">
        <f t="shared" si="7"/>
        <v>210</v>
      </c>
    </row>
    <row r="135" spans="10:14" ht="12.75">
      <c r="J135">
        <f>F59*(F59-1)</f>
        <v>0</v>
      </c>
      <c r="K135">
        <f>G59*(G59-1)</f>
        <v>0</v>
      </c>
      <c r="L135">
        <f>H59*(H59-1)</f>
        <v>0</v>
      </c>
      <c r="M135">
        <f>I59*(I59-1)</f>
        <v>0</v>
      </c>
      <c r="N135">
        <f>J59*(J59-1)</f>
        <v>0</v>
      </c>
    </row>
    <row r="136" spans="10:14" ht="12.75">
      <c r="J136">
        <f>F62*(F62-1)</f>
        <v>0</v>
      </c>
      <c r="K136">
        <f>G62*(G62-1)</f>
        <v>0</v>
      </c>
      <c r="L136">
        <f>H62*(H62-1)</f>
        <v>0</v>
      </c>
      <c r="M136">
        <f>I62*(I62-1)</f>
        <v>0</v>
      </c>
      <c r="N136">
        <f>J62*(J62-1)</f>
        <v>0</v>
      </c>
    </row>
    <row r="137" spans="10:14" ht="12.75">
      <c r="J137">
        <f aca="true" t="shared" si="8" ref="J137:N141">F65*(F65-1)</f>
        <v>6</v>
      </c>
      <c r="K137">
        <f t="shared" si="8"/>
        <v>6</v>
      </c>
      <c r="L137">
        <f t="shared" si="8"/>
        <v>6</v>
      </c>
      <c r="M137">
        <f t="shared" si="8"/>
        <v>6</v>
      </c>
      <c r="N137">
        <f t="shared" si="8"/>
        <v>6</v>
      </c>
    </row>
    <row r="138" spans="10:14" ht="12.75">
      <c r="J138">
        <f t="shared" si="8"/>
        <v>0</v>
      </c>
      <c r="K138">
        <f t="shared" si="8"/>
        <v>0</v>
      </c>
      <c r="L138">
        <f t="shared" si="8"/>
        <v>0</v>
      </c>
      <c r="M138">
        <f t="shared" si="8"/>
        <v>0</v>
      </c>
      <c r="N138">
        <f t="shared" si="8"/>
        <v>0</v>
      </c>
    </row>
    <row r="139" spans="10:14" ht="12.75">
      <c r="J139">
        <f t="shared" si="8"/>
        <v>0</v>
      </c>
      <c r="K139">
        <f t="shared" si="8"/>
        <v>0</v>
      </c>
      <c r="L139">
        <f t="shared" si="8"/>
        <v>0</v>
      </c>
      <c r="M139">
        <f t="shared" si="8"/>
        <v>0</v>
      </c>
      <c r="N139">
        <f t="shared" si="8"/>
        <v>0</v>
      </c>
    </row>
    <row r="140" spans="10:14" ht="12.75">
      <c r="J140">
        <f t="shared" si="8"/>
        <v>0</v>
      </c>
      <c r="K140">
        <f t="shared" si="8"/>
        <v>0</v>
      </c>
      <c r="L140">
        <f t="shared" si="8"/>
        <v>0</v>
      </c>
      <c r="M140">
        <f t="shared" si="8"/>
        <v>0</v>
      </c>
      <c r="N140">
        <f t="shared" si="8"/>
        <v>0</v>
      </c>
    </row>
    <row r="141" spans="10:14" ht="12.75">
      <c r="J141">
        <f t="shared" si="8"/>
        <v>0</v>
      </c>
      <c r="K141">
        <f t="shared" si="8"/>
        <v>0</v>
      </c>
      <c r="L141">
        <f t="shared" si="8"/>
        <v>0</v>
      </c>
      <c r="M141">
        <f t="shared" si="8"/>
        <v>0</v>
      </c>
      <c r="N141">
        <f t="shared" si="8"/>
        <v>0</v>
      </c>
    </row>
    <row r="142" spans="10:14" ht="12.75">
      <c r="J142">
        <f>F72*(F72-1)</f>
        <v>0</v>
      </c>
      <c r="K142">
        <f>G72*(G72-1)</f>
        <v>0</v>
      </c>
      <c r="L142">
        <f>H72*(H72-1)</f>
        <v>0</v>
      </c>
      <c r="M142">
        <f>I72*(I72-1)</f>
        <v>0</v>
      </c>
      <c r="N142">
        <f>J72*(J72-1)</f>
        <v>0</v>
      </c>
    </row>
    <row r="143" spans="10:14" ht="12.75">
      <c r="J143">
        <f aca="true" t="shared" si="9" ref="J143:N144">F76*(F76-1)</f>
        <v>6</v>
      </c>
      <c r="K143">
        <f t="shared" si="9"/>
        <v>6</v>
      </c>
      <c r="L143">
        <f t="shared" si="9"/>
        <v>6</v>
      </c>
      <c r="M143">
        <f t="shared" si="9"/>
        <v>6</v>
      </c>
      <c r="N143">
        <f t="shared" si="9"/>
        <v>6</v>
      </c>
    </row>
    <row r="144" spans="10:14" ht="12.75">
      <c r="J144">
        <f t="shared" si="9"/>
        <v>0</v>
      </c>
      <c r="K144">
        <f t="shared" si="9"/>
        <v>0</v>
      </c>
      <c r="L144">
        <f t="shared" si="9"/>
        <v>0</v>
      </c>
      <c r="M144">
        <f t="shared" si="9"/>
        <v>0</v>
      </c>
      <c r="N144">
        <f t="shared" si="9"/>
        <v>0</v>
      </c>
    </row>
    <row r="146" ht="12.75">
      <c r="J146">
        <f>SUM(J110:J144)</f>
        <v>436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F13" sqref="F13"/>
    </sheetView>
  </sheetViews>
  <sheetFormatPr defaultColWidth="9.140625" defaultRowHeight="12.75"/>
  <cols>
    <col min="1" max="1" width="21.00390625" style="0" customWidth="1"/>
    <col min="2" max="9" width="11.7109375" style="0" customWidth="1"/>
    <col min="10" max="16384" width="8.8515625" style="0" customWidth="1"/>
  </cols>
  <sheetData>
    <row r="1" ht="12.75">
      <c r="A1" t="s">
        <v>176</v>
      </c>
    </row>
    <row r="2" ht="12.75">
      <c r="A2" t="s">
        <v>177</v>
      </c>
    </row>
    <row r="3" ht="12.75">
      <c r="A3" t="s">
        <v>178</v>
      </c>
    </row>
    <row r="4" spans="2:6" ht="12.75">
      <c r="B4" s="12" t="s">
        <v>189</v>
      </c>
      <c r="C4" s="12" t="s">
        <v>190</v>
      </c>
      <c r="D4" s="12" t="s">
        <v>191</v>
      </c>
      <c r="E4" s="12" t="s">
        <v>192</v>
      </c>
      <c r="F4" s="12" t="s">
        <v>193</v>
      </c>
    </row>
    <row r="5" spans="2:6" ht="12.75">
      <c r="B5" s="1" t="s">
        <v>194</v>
      </c>
      <c r="C5" s="1" t="s">
        <v>194</v>
      </c>
      <c r="D5" s="1" t="s">
        <v>194</v>
      </c>
      <c r="E5" s="1" t="s">
        <v>194</v>
      </c>
      <c r="F5" s="1" t="s">
        <v>194</v>
      </c>
    </row>
    <row r="6" spans="1:6" ht="12.75">
      <c r="A6" t="s">
        <v>179</v>
      </c>
      <c r="B6" s="18" t="s">
        <v>102</v>
      </c>
      <c r="C6" s="18" t="s">
        <v>102</v>
      </c>
      <c r="D6" s="18" t="s">
        <v>102</v>
      </c>
      <c r="E6" s="18" t="s">
        <v>102</v>
      </c>
      <c r="F6" s="18" t="s">
        <v>102</v>
      </c>
    </row>
    <row r="7" spans="1:6" ht="12.75">
      <c r="A7" t="s">
        <v>180</v>
      </c>
      <c r="B7">
        <f>COUNT(Data!F9:F77)</f>
        <v>17</v>
      </c>
      <c r="C7">
        <f>COUNT(Data!G9:G77)</f>
        <v>17</v>
      </c>
      <c r="D7">
        <f>COUNT(Data!H9:H77)</f>
        <v>17</v>
      </c>
      <c r="E7">
        <f>COUNT(Data!I9:I77)</f>
        <v>17</v>
      </c>
      <c r="F7">
        <f>COUNT(Data!J9:J77)</f>
        <v>17</v>
      </c>
    </row>
    <row r="8" spans="1:6" ht="12.75">
      <c r="A8" t="s">
        <v>181</v>
      </c>
      <c r="B8">
        <f>COUNT(Data!F21:F27,Data!F38:F44,Data!F57:F67)</f>
        <v>7</v>
      </c>
      <c r="C8">
        <f>COUNT(Data!G21:G27,Data!G38:G44,Data!G57:G67)</f>
        <v>7</v>
      </c>
      <c r="D8">
        <f>COUNT(Data!H21:H27,Data!H38:H44,Data!H57:H67)</f>
        <v>7</v>
      </c>
      <c r="E8">
        <f>COUNT(Data!I21:I27,Data!I38:I44,Data!I57:I67)</f>
        <v>7</v>
      </c>
      <c r="F8">
        <f>COUNT(Data!J21:J27,Data!J38:J44,Data!J57:J67)</f>
        <v>7</v>
      </c>
    </row>
    <row r="9" spans="1:6" ht="12.75">
      <c r="A9" t="s">
        <v>182</v>
      </c>
      <c r="B9">
        <f>COUNT(Data!F21:F27)</f>
        <v>2</v>
      </c>
      <c r="C9">
        <f>COUNT(Data!G21:G27)</f>
        <v>2</v>
      </c>
      <c r="D9">
        <f>COUNT(Data!H21:H27)</f>
        <v>2</v>
      </c>
      <c r="E9">
        <f>COUNT(Data!I21:I27)</f>
        <v>2</v>
      </c>
      <c r="F9">
        <f>COUNT(Data!J21:J27)</f>
        <v>2</v>
      </c>
    </row>
    <row r="10" spans="1:6" ht="12.75">
      <c r="A10" t="s">
        <v>183</v>
      </c>
      <c r="B10">
        <f>COUNT(Data!F69:F77)</f>
        <v>3</v>
      </c>
      <c r="C10">
        <f>COUNT(Data!G69:G77)</f>
        <v>3</v>
      </c>
      <c r="D10">
        <f>COUNT(Data!H69:H77)</f>
        <v>3</v>
      </c>
      <c r="E10">
        <f>COUNT(Data!I69:I77)</f>
        <v>3</v>
      </c>
      <c r="F10">
        <f>COUNT(Data!J69:J77)</f>
        <v>3</v>
      </c>
    </row>
    <row r="11" spans="1:6" ht="12.75">
      <c r="A11" t="s">
        <v>184</v>
      </c>
      <c r="B11" s="4">
        <f>SUM(Data!F21:F27)/Data!F81*100</f>
        <v>8.91089108910891</v>
      </c>
      <c r="C11" s="4">
        <f>SUM(Data!G21:G27)/Data!G81*100</f>
        <v>8.91089108910891</v>
      </c>
      <c r="D11" s="4">
        <f>SUM(Data!H21:H27)/Data!H81*100</f>
        <v>8.91089108910891</v>
      </c>
      <c r="E11" s="4">
        <f>SUM(Data!I21:I27)/Data!I81*100</f>
        <v>8.91089108910891</v>
      </c>
      <c r="F11" s="4">
        <f>SUM(Data!J21:J27)/Data!J81*100</f>
        <v>8.91089108910891</v>
      </c>
    </row>
    <row r="12" spans="1:6" ht="12.75">
      <c r="A12" t="s">
        <v>185</v>
      </c>
      <c r="B12">
        <f>DCOUNT(Data!$A$7:$P$77,Data!F7,Data!$C$109:$C$113)</f>
        <v>5</v>
      </c>
      <c r="C12">
        <f>DCOUNT(Data!$A$7:$P$77,Data!G7,Data!$C$109:$C$113)</f>
        <v>5</v>
      </c>
      <c r="D12">
        <f>DCOUNT(Data!$A$7:$P$77,Data!H7,Data!$C$109:$C$113)</f>
        <v>5</v>
      </c>
      <c r="E12">
        <f>DCOUNT(Data!$A$7:$P$77,Data!I7,Data!$C$109:$C$113)</f>
        <v>5</v>
      </c>
      <c r="F12">
        <f>DCOUNT(Data!$A$7:$P$77,Data!J7,Data!$C$109:$C$113)</f>
        <v>5</v>
      </c>
    </row>
    <row r="13" spans="1:6" ht="12.75">
      <c r="A13" t="s">
        <v>186</v>
      </c>
      <c r="B13">
        <f>(DCOUNT(Data!$A$7:$P$77,Data!F7,Data!$B$115:$B$116)*2)+DCOUNT(Data!$A$7:$P$77,Data!F7,Data!$C$115:$C$116)</f>
        <v>10</v>
      </c>
      <c r="C13">
        <f>(DCOUNT(Data!$A$7:$P$77,Data!G7,Data!$B$115:$B$116)*2)+DCOUNT(Data!$A$7:$P$77,Data!G7,Data!$C$115:$C$116)</f>
        <v>10</v>
      </c>
      <c r="D13">
        <f>(DCOUNT(Data!$A$7:$P$77,Data!H7,Data!$B$115:$B$116)*2)+DCOUNT(Data!$A$7:$P$77,Data!H7,Data!$C$115:$C$116)</f>
        <v>10</v>
      </c>
      <c r="E13">
        <f>(DCOUNT(Data!$A$7:$P$77,Data!I7,Data!$B$115:$B$116)*2)+DCOUNT(Data!$A$7:$P$77,Data!I7,Data!$C$115:$C$116)</f>
        <v>10</v>
      </c>
      <c r="F13">
        <f>(DCOUNT(Data!$A$7:$P$77,Data!J7,Data!$B$115:$B$116)*2)+DCOUNT(Data!$A$7:$P$77,Data!J7,Data!$C$115:$C$116)</f>
        <v>10</v>
      </c>
    </row>
    <row r="16" ht="12.75">
      <c r="A16" t="s">
        <v>49</v>
      </c>
    </row>
    <row r="17" spans="1:6" ht="12.75">
      <c r="A17" t="s">
        <v>180</v>
      </c>
      <c r="B17">
        <f>IF(B7&gt;14,5,IF(B7&lt;9,1,3))</f>
        <v>5</v>
      </c>
      <c r="C17">
        <f>IF(C7&gt;14,5,IF(C7&lt;9,1,3))</f>
        <v>5</v>
      </c>
      <c r="D17">
        <f>IF(D7&gt;14,5,IF(D7&lt;9,1,3))</f>
        <v>5</v>
      </c>
      <c r="E17">
        <f>IF(E7&gt;14,5,IF(E7&lt;9,1,3))</f>
        <v>5</v>
      </c>
      <c r="F17">
        <f>IF(F7&gt;14,5,IF(F7&lt;9,1,3))</f>
        <v>5</v>
      </c>
    </row>
    <row r="18" spans="1:6" ht="12.75">
      <c r="A18" t="s">
        <v>181</v>
      </c>
      <c r="B18">
        <f>IF(B8&gt;10,5,IF(B8&lt;4,1,3))</f>
        <v>3</v>
      </c>
      <c r="C18">
        <f>IF(C8&gt;10,5,IF(C8&lt;4,1,3))</f>
        <v>3</v>
      </c>
      <c r="D18">
        <f>IF(D8&gt;10,5,IF(D8&lt;4,1,3))</f>
        <v>3</v>
      </c>
      <c r="E18">
        <f>IF(E8&gt;10,5,IF(E8&lt;4,1,3))</f>
        <v>3</v>
      </c>
      <c r="F18">
        <f>IF(F8&gt;10,5,IF(F8&lt;4,1,3))</f>
        <v>3</v>
      </c>
    </row>
    <row r="19" spans="1:6" ht="12.75">
      <c r="A19" t="s">
        <v>182</v>
      </c>
      <c r="B19">
        <f aca="true" t="shared" si="0" ref="B19:F20">IF(B9&gt;3,5,IF(B9&lt;2,1,3))</f>
        <v>3</v>
      </c>
      <c r="C19">
        <f t="shared" si="0"/>
        <v>3</v>
      </c>
      <c r="D19">
        <f t="shared" si="0"/>
        <v>3</v>
      </c>
      <c r="E19">
        <f t="shared" si="0"/>
        <v>3</v>
      </c>
      <c r="F19">
        <f t="shared" si="0"/>
        <v>3</v>
      </c>
    </row>
    <row r="20" spans="1:6" ht="12.75">
      <c r="A20" t="s">
        <v>183</v>
      </c>
      <c r="B20">
        <f t="shared" si="0"/>
        <v>3</v>
      </c>
      <c r="C20">
        <f t="shared" si="0"/>
        <v>3</v>
      </c>
      <c r="D20">
        <f t="shared" si="0"/>
        <v>3</v>
      </c>
      <c r="E20">
        <f t="shared" si="0"/>
        <v>3</v>
      </c>
      <c r="F20">
        <f t="shared" si="0"/>
        <v>3</v>
      </c>
    </row>
    <row r="21" spans="1:6" ht="12.75">
      <c r="A21" t="s">
        <v>184</v>
      </c>
      <c r="B21">
        <f>IF(B11&gt;20.3,5,IF(B11&lt;5.7,1,3))</f>
        <v>3</v>
      </c>
      <c r="C21">
        <f>IF(C11&gt;20.3,5,IF(C11&lt;5.7,1,3))</f>
        <v>3</v>
      </c>
      <c r="D21">
        <f>IF(D11&gt;20.3,5,IF(D11&lt;5.7,1,3))</f>
        <v>3</v>
      </c>
      <c r="E21">
        <f>IF(E11&gt;20.3,5,IF(E11&lt;5.7,1,3))</f>
        <v>3</v>
      </c>
      <c r="F21">
        <f>IF(F11&gt;20.3,5,IF(F11&lt;5.7,1,3))</f>
        <v>3</v>
      </c>
    </row>
    <row r="22" spans="1:6" ht="12.75">
      <c r="A22" t="s">
        <v>185</v>
      </c>
      <c r="B22">
        <f>IF(B12&gt;8,5,IF(B12&lt;4,1,3))</f>
        <v>3</v>
      </c>
      <c r="C22">
        <f>IF(C12&gt;8,5,IF(C12&lt;4,1,3))</f>
        <v>3</v>
      </c>
      <c r="D22">
        <f>IF(D12&gt;8,5,IF(D12&lt;4,1,3))</f>
        <v>3</v>
      </c>
      <c r="E22">
        <f>IF(E12&gt;8,5,IF(E12&lt;4,1,3))</f>
        <v>3</v>
      </c>
      <c r="F22">
        <f>IF(F12&gt;8,5,IF(F12&lt;4,1,3))</f>
        <v>3</v>
      </c>
    </row>
    <row r="23" spans="1:6" ht="12.75">
      <c r="A23" t="s">
        <v>186</v>
      </c>
      <c r="B23">
        <f>IF(B13&gt;12.5,5,IF(B13&lt;8,1,3))</f>
        <v>3</v>
      </c>
      <c r="C23">
        <f>IF(C13&gt;12.5,5,IF(C13&lt;8,1,3))</f>
        <v>3</v>
      </c>
      <c r="D23">
        <f>IF(D13&gt;12.5,5,IF(D13&lt;8,1,3))</f>
        <v>3</v>
      </c>
      <c r="E23">
        <f>IF(E13&gt;12.5,5,IF(E13&lt;8,1,3))</f>
        <v>3</v>
      </c>
      <c r="F23">
        <f>IF(F13&gt;12.5,5,IF(F13&lt;8,1,3))</f>
        <v>3</v>
      </c>
    </row>
    <row r="25" spans="1:6" ht="12.75">
      <c r="A25" t="s">
        <v>42</v>
      </c>
      <c r="B25">
        <f>SUM(B17:B23)</f>
        <v>23</v>
      </c>
      <c r="C25">
        <f>SUM(C17:C23)</f>
        <v>23</v>
      </c>
      <c r="D25">
        <f>SUM(D17:D23)</f>
        <v>23</v>
      </c>
      <c r="E25">
        <f>SUM(E17:E23)</f>
        <v>23</v>
      </c>
      <c r="F25">
        <f>SUM(F17:F23)</f>
        <v>23</v>
      </c>
    </row>
    <row r="27" spans="1:6" ht="12.75">
      <c r="A27" t="s">
        <v>50</v>
      </c>
      <c r="B27" s="1" t="str">
        <f>IF(B25&lt;=13,"Very Poor",IF(AND(14&lt;=B25,B25&lt;=20),"Poor",IF(AND(21&lt;=B25,B25&lt;=27),"Fair","Good")))</f>
        <v>Fair</v>
      </c>
      <c r="C27" s="1" t="str">
        <f>IF(C25&lt;=13,"Very Poor",IF(AND(14&lt;=C25,C25&lt;=20),"Poor",IF(AND(21&lt;=C25,C25&lt;=27),"Fair","Good")))</f>
        <v>Fair</v>
      </c>
      <c r="D27" s="1" t="str">
        <f>IF(D25&lt;=13,"Very Poor",IF(AND(14&lt;=D25,D25&lt;=20),"Poor",IF(AND(21&lt;=D25,D25&lt;=27),"Fair","Good")))</f>
        <v>Fair</v>
      </c>
      <c r="E27" s="1" t="str">
        <f>IF(E25&lt;=13,"Very Poor",IF(AND(14&lt;=E25,E25&lt;=20),"Poor",IF(AND(21&lt;=E25,E25&lt;=27),"Fair","Good")))</f>
        <v>Fair</v>
      </c>
      <c r="F27" s="1" t="str">
        <f>IF(F25&lt;=13,"Very Poor",IF(AND(14&lt;=F25,F25&lt;=20),"Poor",IF(AND(21&lt;=F25,F25&lt;=27),"Fair","Good")))</f>
        <v>Fair</v>
      </c>
    </row>
    <row r="31" spans="2:3" ht="12.75">
      <c r="B31" s="8" t="s">
        <v>51</v>
      </c>
      <c r="C31" s="8" t="s">
        <v>50</v>
      </c>
    </row>
    <row r="32" spans="2:3" ht="12.75">
      <c r="B32" s="1" t="s">
        <v>52</v>
      </c>
      <c r="C32" s="1" t="s">
        <v>56</v>
      </c>
    </row>
    <row r="33" spans="2:3" ht="12.75">
      <c r="B33" s="1" t="s">
        <v>53</v>
      </c>
      <c r="C33" s="1" t="s">
        <v>57</v>
      </c>
    </row>
    <row r="34" spans="2:3" ht="12.75">
      <c r="B34" s="1" t="s">
        <v>54</v>
      </c>
      <c r="C34" s="1" t="s">
        <v>58</v>
      </c>
    </row>
    <row r="35" spans="2:3" ht="12.75">
      <c r="B35" s="10" t="s">
        <v>55</v>
      </c>
      <c r="C35" s="1" t="s">
        <v>59</v>
      </c>
    </row>
  </sheetData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3">
      <selection activeCell="F29" sqref="F29"/>
    </sheetView>
  </sheetViews>
  <sheetFormatPr defaultColWidth="9.140625" defaultRowHeight="12.75"/>
  <cols>
    <col min="1" max="1" width="22.00390625" style="0" customWidth="1"/>
    <col min="2" max="2" width="11.421875" style="0" customWidth="1"/>
    <col min="3" max="3" width="11.7109375" style="0" customWidth="1"/>
    <col min="4" max="4" width="10.7109375" style="0" customWidth="1"/>
    <col min="5" max="5" width="11.421875" style="0" customWidth="1"/>
    <col min="6" max="6" width="11.140625" style="0" customWidth="1"/>
    <col min="7" max="16384" width="8.8515625" style="0" customWidth="1"/>
  </cols>
  <sheetData>
    <row r="1" ht="12.75">
      <c r="A1" t="s">
        <v>6</v>
      </c>
    </row>
    <row r="4" spans="2:6" ht="12.75">
      <c r="B4" s="12" t="s">
        <v>189</v>
      </c>
      <c r="C4" s="12" t="s">
        <v>190</v>
      </c>
      <c r="D4" s="12" t="s">
        <v>191</v>
      </c>
      <c r="E4" s="12" t="s">
        <v>192</v>
      </c>
      <c r="F4" s="12" t="s">
        <v>193</v>
      </c>
    </row>
    <row r="5" spans="2:6" ht="12.75">
      <c r="B5" s="1" t="s">
        <v>194</v>
      </c>
      <c r="C5" s="1" t="s">
        <v>194</v>
      </c>
      <c r="D5" s="1" t="s">
        <v>194</v>
      </c>
      <c r="E5" s="1" t="s">
        <v>194</v>
      </c>
      <c r="F5" s="1" t="s">
        <v>194</v>
      </c>
    </row>
    <row r="6" spans="1:6" ht="12.75">
      <c r="A6" t="s">
        <v>179</v>
      </c>
      <c r="B6" s="18" t="s">
        <v>102</v>
      </c>
      <c r="C6" s="18" t="s">
        <v>102</v>
      </c>
      <c r="D6" s="18" t="s">
        <v>102</v>
      </c>
      <c r="E6" s="18" t="s">
        <v>102</v>
      </c>
      <c r="F6" s="18" t="s">
        <v>102</v>
      </c>
    </row>
    <row r="7" spans="1:6" ht="12.75">
      <c r="A7" t="s">
        <v>188</v>
      </c>
      <c r="B7">
        <f>COUNT(Data!F8:F77)</f>
        <v>17</v>
      </c>
      <c r="C7">
        <f>COUNT(Data!G8:G77)</f>
        <v>17</v>
      </c>
      <c r="D7">
        <f>COUNT(Data!H8:H77)</f>
        <v>17</v>
      </c>
      <c r="E7">
        <f>COUNT(Data!I8:I77)</f>
        <v>17</v>
      </c>
      <c r="F7">
        <f>COUNT(Data!J8:J77)</f>
        <v>17</v>
      </c>
    </row>
    <row r="8" spans="1:6" ht="12.75">
      <c r="A8" t="s">
        <v>0</v>
      </c>
      <c r="B8">
        <f>COUNT(Data!F21:F27,Data!F38:F44,Data!F57:F67)</f>
        <v>7</v>
      </c>
      <c r="C8">
        <f>COUNT(Data!G21:G27,Data!G38:G44,Data!G57:G67)</f>
        <v>7</v>
      </c>
      <c r="D8">
        <f>COUNT(Data!H21:H27,Data!H38:H44,Data!H57:H67)</f>
        <v>7</v>
      </c>
      <c r="E8">
        <f>COUNT(Data!I21:I27,Data!I38:I44,Data!I57:I67)</f>
        <v>7</v>
      </c>
      <c r="F8">
        <f>COUNT(Data!J21:J27,Data!J38:J44,Data!J57:J67)</f>
        <v>7</v>
      </c>
    </row>
    <row r="9" spans="1:6" ht="12.75">
      <c r="A9" t="s">
        <v>157</v>
      </c>
      <c r="B9" s="4">
        <f>SUM(Data!F21:F27,Data!F38:F44,Data!F57:F67)/Data!F81*100</f>
        <v>54.45544554455446</v>
      </c>
      <c r="C9" s="4">
        <f>SUM(Data!G21:G27,Data!G38:G44,Data!G57:G67)/Data!G81*100</f>
        <v>54.45544554455446</v>
      </c>
      <c r="D9" s="4">
        <f>SUM(Data!H21:H27,Data!H38:H44,Data!H57:H67)/Data!H81*100</f>
        <v>54.45544554455446</v>
      </c>
      <c r="E9" s="4">
        <f>SUM(Data!I21:I27,Data!I38:I44,Data!I57:I67)/Data!I81*100</f>
        <v>54.45544554455446</v>
      </c>
      <c r="F9" s="4">
        <f>SUM(Data!J21:J27,Data!J38:J44,Data!J57:J67)/Data!J81*100</f>
        <v>54.45544554455446</v>
      </c>
    </row>
    <row r="10" spans="1:6" ht="12.75">
      <c r="A10" t="s">
        <v>164</v>
      </c>
      <c r="B10" s="4">
        <f>Data!F69/Data!F81*100</f>
        <v>0</v>
      </c>
      <c r="C10" s="4">
        <f>Data!G69/Data!G81*100</f>
        <v>0</v>
      </c>
      <c r="D10" s="4">
        <f>Data!H69/Data!H81*100</f>
        <v>0</v>
      </c>
      <c r="E10" s="4">
        <f>Data!I69/Data!I81*100</f>
        <v>0</v>
      </c>
      <c r="F10" s="4">
        <f>Data!J69/Data!J81*100</f>
        <v>0</v>
      </c>
    </row>
    <row r="11" spans="1:6" ht="12.75">
      <c r="A11" t="s">
        <v>34</v>
      </c>
      <c r="B11" s="4">
        <f>SUM(Data!S8:S8)/Data!F81*100</f>
        <v>14.85148514851485</v>
      </c>
      <c r="C11" s="4">
        <f>SUM(Data!T8:T8)/Data!G81*100</f>
        <v>14.85148514851485</v>
      </c>
      <c r="D11" s="4">
        <f>SUM(Data!U8:U8)/Data!H81*100</f>
        <v>14.85148514851485</v>
      </c>
      <c r="E11" s="4">
        <f>SUM(Data!V8:V8)/Data!I81*100</f>
        <v>14.85148514851485</v>
      </c>
      <c r="F11" s="4">
        <f>SUM(Data!W8:W8)/Data!J81*100</f>
        <v>14.85148514851485</v>
      </c>
    </row>
    <row r="12" spans="1:6" ht="12.75">
      <c r="A12" t="s">
        <v>1</v>
      </c>
      <c r="B12" s="4">
        <f>SUMPRODUCT(Data!F9:F77,Data!$C$9:$C$77)/Data!F81</f>
        <v>4.603960396039604</v>
      </c>
      <c r="C12" s="4">
        <f>SUMPRODUCT(Data!G9:G77,Data!$C$9:$C$77)/Data!G81</f>
        <v>4.603960396039604</v>
      </c>
      <c r="D12" s="4">
        <f>SUMPRODUCT(Data!H9:H77,Data!$C$9:$C$77)/Data!H81</f>
        <v>4.603960396039604</v>
      </c>
      <c r="E12" s="4">
        <f>SUMPRODUCT(Data!I9:I77,Data!$C$9:$C$77)/Data!I81</f>
        <v>4.603960396039604</v>
      </c>
      <c r="F12" s="4">
        <f>SUMPRODUCT(Data!J9:J77,Data!$C$9:$C$77)/Data!J81</f>
        <v>4.603960396039604</v>
      </c>
    </row>
    <row r="15" ht="12.75">
      <c r="A15" s="8" t="s">
        <v>7</v>
      </c>
    </row>
    <row r="16" ht="12.75">
      <c r="A16" s="8" t="s">
        <v>179</v>
      </c>
    </row>
    <row r="17" spans="1:6" ht="12.75">
      <c r="A17" t="s">
        <v>188</v>
      </c>
      <c r="B17" s="4">
        <f>100*(B7/21)</f>
        <v>80.95238095238095</v>
      </c>
      <c r="C17" s="4">
        <f>100*(C7/21)</f>
        <v>80.95238095238095</v>
      </c>
      <c r="D17" s="4">
        <f>100*(D7/21)</f>
        <v>80.95238095238095</v>
      </c>
      <c r="E17" s="4">
        <f>100*(E7/21)</f>
        <v>80.95238095238095</v>
      </c>
      <c r="F17" s="4">
        <f>100*(F7/21)</f>
        <v>80.95238095238095</v>
      </c>
    </row>
    <row r="18" spans="1:6" ht="12.75">
      <c r="A18" t="s">
        <v>0</v>
      </c>
      <c r="B18" s="4">
        <f>100*(B8/13)</f>
        <v>53.84615384615385</v>
      </c>
      <c r="C18" s="4">
        <f>100*(C8/13)</f>
        <v>53.84615384615385</v>
      </c>
      <c r="D18" s="4">
        <f>100*(D8/13)</f>
        <v>53.84615384615385</v>
      </c>
      <c r="E18" s="4">
        <f>100*(E8/13)</f>
        <v>53.84615384615385</v>
      </c>
      <c r="F18" s="4">
        <f>100*(F8/13)</f>
        <v>53.84615384615385</v>
      </c>
    </row>
    <row r="19" spans="1:6" ht="12.75">
      <c r="A19" t="s">
        <v>157</v>
      </c>
      <c r="B19" s="4">
        <f>100*(B9/91.9)</f>
        <v>59.25510940647928</v>
      </c>
      <c r="C19" s="4">
        <f>100*(C9/91.9)</f>
        <v>59.25510940647928</v>
      </c>
      <c r="D19" s="4">
        <f>100*(D9/91.9)</f>
        <v>59.25510940647928</v>
      </c>
      <c r="E19" s="4">
        <f>100*(E9/91.9)</f>
        <v>59.25510940647928</v>
      </c>
      <c r="F19" s="4">
        <f>100*(F9/91.9)</f>
        <v>59.25510940647928</v>
      </c>
    </row>
    <row r="20" spans="1:6" ht="12.75">
      <c r="A20" t="s">
        <v>164</v>
      </c>
      <c r="B20" s="4">
        <f>100*((100-B10)/(100-0.98))</f>
        <v>100.98969905069683</v>
      </c>
      <c r="C20" s="4">
        <f>100*((100-C10)/(100-0.98))</f>
        <v>100.98969905069683</v>
      </c>
      <c r="D20" s="4">
        <f>100*((100-D10)/(100-0.98))</f>
        <v>100.98969905069683</v>
      </c>
      <c r="E20" s="4">
        <f>100*((100-E10)/(100-0.98))</f>
        <v>100.98969905069683</v>
      </c>
      <c r="F20" s="4">
        <f>100*((100-F10)/(100-0.98))</f>
        <v>100.98969905069683</v>
      </c>
    </row>
    <row r="21" spans="1:6" ht="12.75">
      <c r="A21" t="s">
        <v>34</v>
      </c>
      <c r="B21" s="4">
        <f>100*((100-B11)/(100-36))</f>
        <v>133.04455445544554</v>
      </c>
      <c r="C21" s="4">
        <f>100*((100-C11)/(100-36))</f>
        <v>133.04455445544554</v>
      </c>
      <c r="D21" s="4">
        <f>100*((100-D11)/(100-36))</f>
        <v>133.04455445544554</v>
      </c>
      <c r="E21" s="4">
        <f>100*((100-E11)/(100-36))</f>
        <v>133.04455445544554</v>
      </c>
      <c r="F21" s="4">
        <f>100*((100-F11)/(100-36))</f>
        <v>133.04455445544554</v>
      </c>
    </row>
    <row r="22" spans="1:6" ht="12.75">
      <c r="A22" t="s">
        <v>1</v>
      </c>
      <c r="B22" s="4">
        <f>100*((10-B12)/(10-2.9))</f>
        <v>76.00055780225911</v>
      </c>
      <c r="C22" s="4">
        <f>100*((10-C12)/(10-2.9))</f>
        <v>76.00055780225911</v>
      </c>
      <c r="D22" s="4">
        <f>100*((10-D12)/(10-2.9))</f>
        <v>76.00055780225911</v>
      </c>
      <c r="E22" s="4">
        <f>100*((10-E12)/(10-2.9))</f>
        <v>76.00055780225911</v>
      </c>
      <c r="F22" s="4">
        <f>100*((10-F12)/(10-2.9))</f>
        <v>76.00055780225911</v>
      </c>
    </row>
    <row r="23" spans="2:6" ht="12.75">
      <c r="B23" s="4"/>
      <c r="C23" s="4"/>
      <c r="D23" s="4"/>
      <c r="E23" s="4"/>
      <c r="F23" s="4"/>
    </row>
    <row r="25" ht="12.75">
      <c r="A25" t="s">
        <v>25</v>
      </c>
    </row>
    <row r="26" ht="12.75">
      <c r="A26" s="8" t="s">
        <v>179</v>
      </c>
    </row>
    <row r="27" spans="1:6" ht="12.75">
      <c r="A27" t="s">
        <v>188</v>
      </c>
      <c r="B27" s="4">
        <f>IF(B17&gt;100,100,B17)</f>
        <v>80.95238095238095</v>
      </c>
      <c r="C27" s="4">
        <f>IF(C17&gt;100,100,C17)</f>
        <v>80.95238095238095</v>
      </c>
      <c r="D27" s="4">
        <f>IF(D17&gt;100,100,D17)</f>
        <v>80.95238095238095</v>
      </c>
      <c r="E27" s="4">
        <f>IF(E17&gt;100,100,E17)</f>
        <v>80.95238095238095</v>
      </c>
      <c r="F27" s="4">
        <f>IF(F17&gt;100,100,F17)</f>
        <v>80.95238095238095</v>
      </c>
    </row>
    <row r="28" spans="1:6" ht="12.75">
      <c r="A28" t="s">
        <v>0</v>
      </c>
      <c r="B28" s="4">
        <f aca="true" t="shared" si="0" ref="B28:F32">IF(B18&gt;100,100,B18)</f>
        <v>53.84615384615385</v>
      </c>
      <c r="C28" s="4">
        <f t="shared" si="0"/>
        <v>53.84615384615385</v>
      </c>
      <c r="D28" s="4">
        <f t="shared" si="0"/>
        <v>53.84615384615385</v>
      </c>
      <c r="E28" s="4">
        <f t="shared" si="0"/>
        <v>53.84615384615385</v>
      </c>
      <c r="F28" s="4">
        <f t="shared" si="0"/>
        <v>53.84615384615385</v>
      </c>
    </row>
    <row r="29" spans="1:6" ht="12.75">
      <c r="A29" t="s">
        <v>157</v>
      </c>
      <c r="B29" s="4">
        <f t="shared" si="0"/>
        <v>59.25510940647928</v>
      </c>
      <c r="C29" s="4">
        <f t="shared" si="0"/>
        <v>59.25510940647928</v>
      </c>
      <c r="D29" s="4">
        <f t="shared" si="0"/>
        <v>59.25510940647928</v>
      </c>
      <c r="E29" s="4">
        <f t="shared" si="0"/>
        <v>59.25510940647928</v>
      </c>
      <c r="F29" s="4">
        <f t="shared" si="0"/>
        <v>59.25510940647928</v>
      </c>
    </row>
    <row r="30" spans="1:6" ht="12.75">
      <c r="A30" t="s">
        <v>164</v>
      </c>
      <c r="B30" s="4">
        <f t="shared" si="0"/>
        <v>100</v>
      </c>
      <c r="C30" s="4">
        <f t="shared" si="0"/>
        <v>100</v>
      </c>
      <c r="D30" s="4">
        <f t="shared" si="0"/>
        <v>100</v>
      </c>
      <c r="E30" s="4">
        <f t="shared" si="0"/>
        <v>100</v>
      </c>
      <c r="F30" s="4">
        <f t="shared" si="0"/>
        <v>100</v>
      </c>
    </row>
    <row r="31" spans="1:6" ht="12.75">
      <c r="A31" t="s">
        <v>34</v>
      </c>
      <c r="B31" s="4">
        <f t="shared" si="0"/>
        <v>100</v>
      </c>
      <c r="C31" s="4">
        <f t="shared" si="0"/>
        <v>100</v>
      </c>
      <c r="D31" s="4">
        <f t="shared" si="0"/>
        <v>100</v>
      </c>
      <c r="E31" s="4">
        <f t="shared" si="0"/>
        <v>100</v>
      </c>
      <c r="F31" s="4">
        <f t="shared" si="0"/>
        <v>100</v>
      </c>
    </row>
    <row r="32" spans="1:6" ht="12.75">
      <c r="A32" t="s">
        <v>1</v>
      </c>
      <c r="B32" s="4">
        <f t="shared" si="0"/>
        <v>76.00055780225911</v>
      </c>
      <c r="C32" s="4">
        <f t="shared" si="0"/>
        <v>76.00055780225911</v>
      </c>
      <c r="D32" s="4">
        <f t="shared" si="0"/>
        <v>76.00055780225911</v>
      </c>
      <c r="E32" s="4">
        <f t="shared" si="0"/>
        <v>76.00055780225911</v>
      </c>
      <c r="F32" s="4">
        <f>IF(F22&gt;100,100,F22)</f>
        <v>76.00055780225911</v>
      </c>
    </row>
    <row r="34" spans="1:6" ht="12.75">
      <c r="A34" t="s">
        <v>8</v>
      </c>
      <c r="B34" s="4">
        <f>SUM(B27:B32)/6</f>
        <v>78.3423670012122</v>
      </c>
      <c r="C34" s="4">
        <f>SUM(C27:C32)/6</f>
        <v>78.3423670012122</v>
      </c>
      <c r="D34" s="4">
        <f>SUM(D27:D32)/6</f>
        <v>78.3423670012122</v>
      </c>
      <c r="E34" s="4">
        <f>SUM(E27:E32)/6</f>
        <v>78.3423670012122</v>
      </c>
      <c r="F34" s="4">
        <f>SUM(F27:F32)/6</f>
        <v>78.3423670012122</v>
      </c>
    </row>
    <row r="35" spans="1:6" ht="12.75">
      <c r="A35" t="s">
        <v>33</v>
      </c>
      <c r="B35" s="21" t="s">
        <v>31</v>
      </c>
      <c r="C35" s="21" t="s">
        <v>31</v>
      </c>
      <c r="D35" s="21" t="s">
        <v>31</v>
      </c>
      <c r="E35" s="21" t="s">
        <v>31</v>
      </c>
      <c r="F35" s="21" t="s">
        <v>31</v>
      </c>
    </row>
    <row r="47" spans="2:3" ht="12.75">
      <c r="B47" s="8" t="s">
        <v>9</v>
      </c>
      <c r="C47" s="8" t="s">
        <v>10</v>
      </c>
    </row>
    <row r="48" spans="2:3" ht="12.75">
      <c r="B48" t="s">
        <v>26</v>
      </c>
      <c r="C48" t="s">
        <v>30</v>
      </c>
    </row>
    <row r="49" spans="2:3" ht="12.75">
      <c r="B49" t="s">
        <v>27</v>
      </c>
      <c r="C49" t="s">
        <v>31</v>
      </c>
    </row>
    <row r="50" spans="2:3" ht="12.75">
      <c r="B50" t="s">
        <v>28</v>
      </c>
      <c r="C50" t="s">
        <v>32</v>
      </c>
    </row>
    <row r="51" spans="2:3" ht="12.75">
      <c r="B51" t="s">
        <v>29</v>
      </c>
      <c r="C51" t="s">
        <v>58</v>
      </c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9">
      <selection activeCell="B3" sqref="B3:F5"/>
    </sheetView>
  </sheetViews>
  <sheetFormatPr defaultColWidth="9.140625" defaultRowHeight="12.75"/>
  <cols>
    <col min="1" max="1" width="28.7109375" style="0" customWidth="1"/>
    <col min="2" max="2" width="11.421875" style="0" customWidth="1"/>
    <col min="3" max="3" width="11.28125" style="0" customWidth="1"/>
    <col min="4" max="4" width="11.421875" style="0" customWidth="1"/>
    <col min="5" max="5" width="11.28125" style="0" customWidth="1"/>
    <col min="6" max="6" width="11.140625" style="0" customWidth="1"/>
    <col min="7" max="16384" width="8.8515625" style="0" customWidth="1"/>
  </cols>
  <sheetData>
    <row r="1" ht="12.75">
      <c r="A1" s="8" t="s">
        <v>74</v>
      </c>
    </row>
    <row r="3" spans="2:6" ht="12.75">
      <c r="B3" s="12" t="s">
        <v>189</v>
      </c>
      <c r="C3" s="12" t="s">
        <v>190</v>
      </c>
      <c r="D3" s="12" t="s">
        <v>191</v>
      </c>
      <c r="E3" s="12" t="s">
        <v>192</v>
      </c>
      <c r="F3" s="12" t="s">
        <v>193</v>
      </c>
    </row>
    <row r="4" spans="2:6" ht="12.75">
      <c r="B4" s="1" t="s">
        <v>194</v>
      </c>
      <c r="C4" s="1" t="s">
        <v>194</v>
      </c>
      <c r="D4" s="1" t="s">
        <v>194</v>
      </c>
      <c r="E4" s="1" t="s">
        <v>194</v>
      </c>
      <c r="F4" s="1" t="s">
        <v>194</v>
      </c>
    </row>
    <row r="5" spans="1:6" ht="12.75">
      <c r="A5" s="8" t="s">
        <v>179</v>
      </c>
      <c r="B5" s="18" t="s">
        <v>102</v>
      </c>
      <c r="C5" s="18" t="s">
        <v>102</v>
      </c>
      <c r="D5" s="18" t="s">
        <v>102</v>
      </c>
      <c r="E5" s="18" t="s">
        <v>102</v>
      </c>
      <c r="F5" s="18" t="s">
        <v>102</v>
      </c>
    </row>
    <row r="6" spans="1:6" ht="12.75">
      <c r="A6" t="s">
        <v>2</v>
      </c>
      <c r="B6" s="1">
        <f>COUNT(Data!F8:F77)</f>
        <v>17</v>
      </c>
      <c r="C6" s="1">
        <f>COUNT(Data!G8:G77)</f>
        <v>17</v>
      </c>
      <c r="D6" s="1">
        <f>COUNT(Data!H8:H77)</f>
        <v>17</v>
      </c>
      <c r="E6" s="1">
        <f>COUNT(Data!I8:I77)</f>
        <v>17</v>
      </c>
      <c r="F6" s="1">
        <f>COUNT(Data!J8:J77)</f>
        <v>17</v>
      </c>
    </row>
    <row r="7" spans="1:6" ht="12.75">
      <c r="A7" t="s">
        <v>3</v>
      </c>
      <c r="B7" s="1">
        <f>COUNT(Data!F21:F30,Data!F38:F44,Data!F57:F67)</f>
        <v>8</v>
      </c>
      <c r="C7" s="1">
        <f>COUNT(Data!G21:G30,Data!G38:G44,Data!G57:G67)</f>
        <v>8</v>
      </c>
      <c r="D7" s="1">
        <f>COUNT(Data!H21:H30,Data!H38:H44,Data!H57:H67)</f>
        <v>8</v>
      </c>
      <c r="E7" s="1">
        <f>COUNT(Data!I21:I30,Data!I38:I44,Data!I57:I67)</f>
        <v>8</v>
      </c>
      <c r="F7" s="1">
        <f>COUNT(Data!J21:J30,Data!J38:J44,Data!J57:J67)</f>
        <v>8</v>
      </c>
    </row>
    <row r="8" spans="1:6" ht="12.75">
      <c r="A8" t="s">
        <v>12</v>
      </c>
      <c r="B8" s="2">
        <f>SUM(Data!F38:F44,Data!F58:F67)/Data!F81*100</f>
        <v>30.693069306930692</v>
      </c>
      <c r="C8" s="2">
        <f>SUM(Data!G38:G44,Data!G58:G67)/Data!G81*100</f>
        <v>30.693069306930692</v>
      </c>
      <c r="D8" s="2">
        <f>SUM(Data!H38:H44,Data!H58:H67)/Data!H81*100</f>
        <v>30.693069306930692</v>
      </c>
      <c r="E8" s="2">
        <f>SUM(Data!I38:I44,Data!I58:I67)/Data!I81*100</f>
        <v>30.693069306930692</v>
      </c>
      <c r="F8" s="2">
        <f>SUM(Data!J38:J44,Data!J58:J67)/Data!J81*100</f>
        <v>30.693069306930692</v>
      </c>
    </row>
    <row r="9" spans="1:6" ht="12.75">
      <c r="A9" t="s">
        <v>4</v>
      </c>
      <c r="B9" s="2">
        <f>SUMPRODUCT(Data!F9:F77,Data!$C$9:$C$77)/Data!F81</f>
        <v>4.603960396039604</v>
      </c>
      <c r="C9" s="2">
        <f>SUMPRODUCT(Data!G9:G77,Data!$C$9:$C$77)/Data!G81</f>
        <v>4.603960396039604</v>
      </c>
      <c r="D9" s="2">
        <f>SUMPRODUCT(Data!H9:H77,Data!$C$9:$C$77)/Data!H81</f>
        <v>4.603960396039604</v>
      </c>
      <c r="E9" s="2">
        <f>SUMPRODUCT(Data!I9:I77,Data!$C$9:$C$77)/Data!I81</f>
        <v>4.603960396039604</v>
      </c>
      <c r="F9" s="2">
        <f>SUMPRODUCT(Data!J9:J77,Data!$C$9:$C$77)/Data!J81</f>
        <v>4.603960396039604</v>
      </c>
    </row>
    <row r="10" spans="1:6" ht="12.75">
      <c r="A10" t="s">
        <v>13</v>
      </c>
      <c r="B10" s="2">
        <f>SUM(Data!S8:S9)/Data!F81*100</f>
        <v>29.7029702970297</v>
      </c>
      <c r="C10" s="2">
        <f>SUM(Data!T8:T9)/Data!G81*100</f>
        <v>29.7029702970297</v>
      </c>
      <c r="D10" s="2">
        <f>SUM(Data!U8:U9)/Data!H81*100</f>
        <v>29.7029702970297</v>
      </c>
      <c r="E10" s="2">
        <f>SUM(Data!V8:V9)/Data!I81*100</f>
        <v>29.7029702970297</v>
      </c>
      <c r="F10" s="2">
        <f>SUM(Data!W8:W9)/Data!J81*100</f>
        <v>29.7029702970297</v>
      </c>
    </row>
    <row r="11" spans="1:6" ht="12.75">
      <c r="A11" t="s">
        <v>164</v>
      </c>
      <c r="B11" s="2">
        <f>Data!F69/Data!F81*100</f>
        <v>0</v>
      </c>
      <c r="C11" s="2">
        <f>Data!G69/Data!G81*100</f>
        <v>0</v>
      </c>
      <c r="D11" s="2">
        <f>Data!H69/Data!H81*100</f>
        <v>0</v>
      </c>
      <c r="E11" s="2">
        <f>Data!I69/Data!I81*100</f>
        <v>0</v>
      </c>
      <c r="F11" s="2">
        <f>Data!J69/Data!J81*100</f>
        <v>0</v>
      </c>
    </row>
    <row r="12" spans="1:6" ht="12.75">
      <c r="A12" t="s">
        <v>170</v>
      </c>
      <c r="B12" s="2">
        <f>Data!B101</f>
        <v>11.881188118811881</v>
      </c>
      <c r="C12" s="2">
        <f>Data!C101</f>
        <v>11.881188118811881</v>
      </c>
      <c r="D12" s="2">
        <f>Data!D101</f>
        <v>11.881188118811881</v>
      </c>
      <c r="E12" s="2">
        <f>Data!E101</f>
        <v>11.881188118811881</v>
      </c>
      <c r="F12" s="2">
        <f>Data!F101</f>
        <v>11.881188118811881</v>
      </c>
    </row>
    <row r="13" spans="1:6" ht="12.75">
      <c r="A13" t="s">
        <v>184</v>
      </c>
      <c r="B13" s="2">
        <f>SUM(Data!F21:F30)/Data!F81*100</f>
        <v>13.861386138613863</v>
      </c>
      <c r="C13" s="2">
        <f>SUM(Data!G21:G30)/Data!G81*100</f>
        <v>13.861386138613863</v>
      </c>
      <c r="D13" s="2">
        <f>SUM(Data!H21:H30)/Data!H81*100</f>
        <v>13.861386138613863</v>
      </c>
      <c r="E13" s="2">
        <f>SUM(Data!I21:I30)/Data!I81*100</f>
        <v>13.861386138613863</v>
      </c>
      <c r="F13" s="2">
        <f>SUM(Data!J21:J30)/Data!J81*100</f>
        <v>13.861386138613863</v>
      </c>
    </row>
    <row r="14" spans="2:6" ht="12.75">
      <c r="B14" s="4"/>
      <c r="C14" s="4"/>
      <c r="D14" s="4"/>
      <c r="E14" s="4"/>
      <c r="F14" s="4"/>
    </row>
    <row r="15" spans="2:6" ht="12.75">
      <c r="B15" s="4"/>
      <c r="C15" s="4"/>
      <c r="D15" s="4"/>
      <c r="E15" s="4"/>
      <c r="F15" s="4"/>
    </row>
    <row r="16" spans="1:6" ht="12.75">
      <c r="A16" s="8" t="s">
        <v>14</v>
      </c>
      <c r="B16" s="4"/>
      <c r="C16" s="4"/>
      <c r="D16" s="4"/>
      <c r="E16" s="4"/>
      <c r="F16" s="4"/>
    </row>
    <row r="17" spans="1:6" ht="12.75">
      <c r="A17" t="s">
        <v>2</v>
      </c>
      <c r="B17" s="2">
        <f>100*(B6/22)</f>
        <v>77.27272727272727</v>
      </c>
      <c r="C17" s="2">
        <f>100*(C6/22)</f>
        <v>77.27272727272727</v>
      </c>
      <c r="D17" s="2">
        <f>100*(D6/22)</f>
        <v>77.27272727272727</v>
      </c>
      <c r="E17" s="2">
        <f>100*(E6/22)</f>
        <v>77.27272727272727</v>
      </c>
      <c r="F17" s="2">
        <f>100*(F6/22)</f>
        <v>77.27272727272727</v>
      </c>
    </row>
    <row r="18" spans="1:6" ht="12.75">
      <c r="A18" t="s">
        <v>3</v>
      </c>
      <c r="B18" s="2">
        <f>100*(B7/11)</f>
        <v>72.72727272727273</v>
      </c>
      <c r="C18" s="2">
        <f>100*(C7/11)</f>
        <v>72.72727272727273</v>
      </c>
      <c r="D18" s="2">
        <f>100*(D7/11)</f>
        <v>72.72727272727273</v>
      </c>
      <c r="E18" s="2">
        <f>100*(E7/11)</f>
        <v>72.72727272727273</v>
      </c>
      <c r="F18" s="2">
        <f>100*(F7/11)</f>
        <v>72.72727272727273</v>
      </c>
    </row>
    <row r="19" spans="1:6" ht="12.75">
      <c r="A19" t="s">
        <v>12</v>
      </c>
      <c r="B19" s="2">
        <f>100*(B8/35.6)</f>
        <v>86.21648681722104</v>
      </c>
      <c r="C19" s="2">
        <f>100*(C8/35.6)</f>
        <v>86.21648681722104</v>
      </c>
      <c r="D19" s="2">
        <f>100*(D8/35.6)</f>
        <v>86.21648681722104</v>
      </c>
      <c r="E19" s="2">
        <f>100*(E8/35.6)</f>
        <v>86.21648681722104</v>
      </c>
      <c r="F19" s="2">
        <f>100*(F8/35.6)</f>
        <v>86.21648681722104</v>
      </c>
    </row>
    <row r="20" spans="1:6" ht="12.75">
      <c r="A20" t="s">
        <v>4</v>
      </c>
      <c r="B20" s="2">
        <f>100*((10-B9)/(10-3.2))</f>
        <v>79.35352358765289</v>
      </c>
      <c r="C20" s="2">
        <f>100*((10-C9)/(10-3.2))</f>
        <v>79.35352358765289</v>
      </c>
      <c r="D20" s="2">
        <f>100*((10-D9)/(10-3.2))</f>
        <v>79.35352358765289</v>
      </c>
      <c r="E20" s="2">
        <f>100*((10-E9)/(10-3.2))</f>
        <v>79.35352358765289</v>
      </c>
      <c r="F20" s="2">
        <f>100*((10-F9)/(10-3.2))</f>
        <v>79.35352358765289</v>
      </c>
    </row>
    <row r="21" spans="1:6" ht="12.75">
      <c r="A21" t="s">
        <v>13</v>
      </c>
      <c r="B21" s="2">
        <f>100*((100-B10)/(100-30.8))</f>
        <v>101.58530303897442</v>
      </c>
      <c r="C21" s="2">
        <f>100*((100-C10)/(100-30.8))</f>
        <v>101.58530303897442</v>
      </c>
      <c r="D21" s="2">
        <f>100*((100-D10)/(100-30.8))</f>
        <v>101.58530303897442</v>
      </c>
      <c r="E21" s="2">
        <f>100*((100-E10)/(100-30.8))</f>
        <v>101.58530303897442</v>
      </c>
      <c r="F21" s="2">
        <f>100*((100-F10)/(100-30.8))</f>
        <v>101.58530303897442</v>
      </c>
    </row>
    <row r="22" spans="1:6" ht="12.75">
      <c r="A22" t="s">
        <v>164</v>
      </c>
      <c r="B22" s="2">
        <f>100*((100-B11)/(100-0))</f>
        <v>100</v>
      </c>
      <c r="C22" s="2">
        <f>100*((100-C11)/(100-0))</f>
        <v>100</v>
      </c>
      <c r="D22" s="2">
        <f>100*((100-D11)/(100-0))</f>
        <v>100</v>
      </c>
      <c r="E22" s="2">
        <f>100*((100-E11)/(100-0))</f>
        <v>100</v>
      </c>
      <c r="F22" s="2">
        <f>100*((100-F11)/(100-0))</f>
        <v>100</v>
      </c>
    </row>
    <row r="23" spans="1:6" ht="12.75">
      <c r="A23" t="s">
        <v>170</v>
      </c>
      <c r="B23" s="2">
        <f>100*(B12/51.6)</f>
        <v>23.025558369790467</v>
      </c>
      <c r="C23" s="2">
        <f>100*(C12/51.6)</f>
        <v>23.025558369790467</v>
      </c>
      <c r="D23" s="2">
        <f>100*(D12/51.6)</f>
        <v>23.025558369790467</v>
      </c>
      <c r="E23" s="2">
        <f>100*(E12/51.6)</f>
        <v>23.025558369790467</v>
      </c>
      <c r="F23" s="2">
        <f>100*(F12/51.6)</f>
        <v>23.025558369790467</v>
      </c>
    </row>
    <row r="24" spans="1:6" ht="12.75">
      <c r="A24" t="s">
        <v>184</v>
      </c>
      <c r="B24" s="2">
        <f>100*(B13/61.3)</f>
        <v>22.61237543003893</v>
      </c>
      <c r="C24" s="2">
        <f>100*(C13/61.3)</f>
        <v>22.61237543003893</v>
      </c>
      <c r="D24" s="2">
        <f>100*(D13/61.3)</f>
        <v>22.61237543003893</v>
      </c>
      <c r="E24" s="2">
        <f>100*(E13/61.3)</f>
        <v>22.61237543003893</v>
      </c>
      <c r="F24" s="2">
        <f>100*(F13/61.3)</f>
        <v>22.61237543003893</v>
      </c>
    </row>
    <row r="25" spans="2:6" ht="12.75">
      <c r="B25" s="4"/>
      <c r="C25" s="4"/>
      <c r="D25" s="4"/>
      <c r="E25" s="4"/>
      <c r="F25" s="4"/>
    </row>
    <row r="26" spans="2:6" ht="12.75">
      <c r="B26" s="4"/>
      <c r="C26" s="4"/>
      <c r="D26" s="4"/>
      <c r="E26" s="4"/>
      <c r="F26" s="4"/>
    </row>
    <row r="27" spans="1:6" ht="12.75">
      <c r="A27" s="8" t="s">
        <v>46</v>
      </c>
      <c r="B27" s="4"/>
      <c r="C27" s="4"/>
      <c r="D27" s="4"/>
      <c r="E27" s="4"/>
      <c r="F27" s="4"/>
    </row>
    <row r="28" spans="1:6" ht="12.75">
      <c r="A28" t="s">
        <v>2</v>
      </c>
      <c r="B28" s="2">
        <f>IF(B17&gt;100,100,B17)</f>
        <v>77.27272727272727</v>
      </c>
      <c r="C28" s="2">
        <f>IF(C17&gt;100,100,C17)</f>
        <v>77.27272727272727</v>
      </c>
      <c r="D28" s="2">
        <f>IF(D17&gt;100,100,D17)</f>
        <v>77.27272727272727</v>
      </c>
      <c r="E28" s="2">
        <f>IF(E17&gt;100,100,E17)</f>
        <v>77.27272727272727</v>
      </c>
      <c r="F28" s="2">
        <f>IF(F17&gt;100,100,F17)</f>
        <v>77.27272727272727</v>
      </c>
    </row>
    <row r="29" spans="1:6" ht="12.75">
      <c r="A29" t="s">
        <v>3</v>
      </c>
      <c r="B29" s="2">
        <f aca="true" t="shared" si="0" ref="B29:F35">IF(B18&gt;100,100,B18)</f>
        <v>72.72727272727273</v>
      </c>
      <c r="C29" s="2">
        <f t="shared" si="0"/>
        <v>72.72727272727273</v>
      </c>
      <c r="D29" s="2">
        <f t="shared" si="0"/>
        <v>72.72727272727273</v>
      </c>
      <c r="E29" s="2">
        <f t="shared" si="0"/>
        <v>72.72727272727273</v>
      </c>
      <c r="F29" s="2">
        <f t="shared" si="0"/>
        <v>72.72727272727273</v>
      </c>
    </row>
    <row r="30" spans="1:6" ht="12.75">
      <c r="A30" t="s">
        <v>12</v>
      </c>
      <c r="B30" s="2">
        <f t="shared" si="0"/>
        <v>86.21648681722104</v>
      </c>
      <c r="C30" s="2">
        <f t="shared" si="0"/>
        <v>86.21648681722104</v>
      </c>
      <c r="D30" s="2">
        <f t="shared" si="0"/>
        <v>86.21648681722104</v>
      </c>
      <c r="E30" s="2">
        <f t="shared" si="0"/>
        <v>86.21648681722104</v>
      </c>
      <c r="F30" s="2">
        <f t="shared" si="0"/>
        <v>86.21648681722104</v>
      </c>
    </row>
    <row r="31" spans="1:6" ht="12.75">
      <c r="A31" t="s">
        <v>4</v>
      </c>
      <c r="B31" s="2">
        <f t="shared" si="0"/>
        <v>79.35352358765289</v>
      </c>
      <c r="C31" s="2">
        <f t="shared" si="0"/>
        <v>79.35352358765289</v>
      </c>
      <c r="D31" s="2">
        <f t="shared" si="0"/>
        <v>79.35352358765289</v>
      </c>
      <c r="E31" s="2">
        <f t="shared" si="0"/>
        <v>79.35352358765289</v>
      </c>
      <c r="F31" s="2">
        <f t="shared" si="0"/>
        <v>79.35352358765289</v>
      </c>
    </row>
    <row r="32" spans="1:6" ht="12.75">
      <c r="A32" t="s">
        <v>13</v>
      </c>
      <c r="B32" s="2">
        <f t="shared" si="0"/>
        <v>100</v>
      </c>
      <c r="C32" s="2">
        <f t="shared" si="0"/>
        <v>100</v>
      </c>
      <c r="D32" s="2">
        <f t="shared" si="0"/>
        <v>100</v>
      </c>
      <c r="E32" s="2">
        <f t="shared" si="0"/>
        <v>100</v>
      </c>
      <c r="F32" s="2">
        <f t="shared" si="0"/>
        <v>100</v>
      </c>
    </row>
    <row r="33" spans="1:6" ht="12.75">
      <c r="A33" t="s">
        <v>164</v>
      </c>
      <c r="B33" s="2">
        <f t="shared" si="0"/>
        <v>100</v>
      </c>
      <c r="C33" s="2">
        <f t="shared" si="0"/>
        <v>100</v>
      </c>
      <c r="D33" s="2">
        <f t="shared" si="0"/>
        <v>100</v>
      </c>
      <c r="E33" s="2">
        <f t="shared" si="0"/>
        <v>100</v>
      </c>
      <c r="F33" s="2">
        <f t="shared" si="0"/>
        <v>100</v>
      </c>
    </row>
    <row r="34" spans="1:6" ht="12.75">
      <c r="A34" t="s">
        <v>170</v>
      </c>
      <c r="B34" s="2">
        <f t="shared" si="0"/>
        <v>23.025558369790467</v>
      </c>
      <c r="C34" s="2">
        <f t="shared" si="0"/>
        <v>23.025558369790467</v>
      </c>
      <c r="D34" s="2">
        <f t="shared" si="0"/>
        <v>23.025558369790467</v>
      </c>
      <c r="E34" s="2">
        <f t="shared" si="0"/>
        <v>23.025558369790467</v>
      </c>
      <c r="F34" s="2">
        <f t="shared" si="0"/>
        <v>23.025558369790467</v>
      </c>
    </row>
    <row r="35" spans="1:6" ht="12.75">
      <c r="A35" t="s">
        <v>184</v>
      </c>
      <c r="B35" s="2">
        <f t="shared" si="0"/>
        <v>22.61237543003893</v>
      </c>
      <c r="C35" s="2">
        <f t="shared" si="0"/>
        <v>22.61237543003893</v>
      </c>
      <c r="D35" s="2">
        <f t="shared" si="0"/>
        <v>22.61237543003893</v>
      </c>
      <c r="E35" s="2">
        <f t="shared" si="0"/>
        <v>22.61237543003893</v>
      </c>
      <c r="F35" s="2">
        <f t="shared" si="0"/>
        <v>22.61237543003893</v>
      </c>
    </row>
    <row r="36" spans="2:6" ht="12.75">
      <c r="B36" s="4"/>
      <c r="C36" s="4"/>
      <c r="D36" s="4"/>
      <c r="E36" s="4"/>
      <c r="F36" s="4"/>
    </row>
    <row r="37" spans="2:6" ht="12.75">
      <c r="B37" s="4"/>
      <c r="C37" s="4"/>
      <c r="D37" s="4"/>
      <c r="E37" s="4"/>
      <c r="F37" s="4"/>
    </row>
    <row r="38" spans="1:6" ht="12.75">
      <c r="A38" s="8" t="s">
        <v>15</v>
      </c>
      <c r="B38" s="2">
        <f>SUM(B28:B35)/8</f>
        <v>70.15099302558792</v>
      </c>
      <c r="C38" s="2">
        <f>SUM(C28:C35)/8</f>
        <v>70.15099302558792</v>
      </c>
      <c r="D38" s="2">
        <f>SUM(D28:D35)/8</f>
        <v>70.15099302558792</v>
      </c>
      <c r="E38" s="2">
        <f>SUM(E28:E35)/8</f>
        <v>70.15099302558792</v>
      </c>
      <c r="F38" s="2">
        <f>SUM(F28:F35)/8</f>
        <v>70.15099302558792</v>
      </c>
    </row>
    <row r="39" ht="12.75">
      <c r="A39" t="s">
        <v>47</v>
      </c>
    </row>
    <row r="40" ht="12.75">
      <c r="A40" t="s">
        <v>16</v>
      </c>
    </row>
    <row r="41" ht="12.75">
      <c r="A41" t="s">
        <v>17</v>
      </c>
    </row>
    <row r="42" ht="12.75">
      <c r="A42" t="s">
        <v>18</v>
      </c>
    </row>
    <row r="43" ht="12.75">
      <c r="A43" t="s">
        <v>19</v>
      </c>
    </row>
    <row r="45" spans="1:6" ht="12.75">
      <c r="A45" s="8" t="s">
        <v>15</v>
      </c>
      <c r="B45" s="1" t="str">
        <f>IF(B38&lt;61.3,"Impaired","Not Impaired")</f>
        <v>Not Impaired</v>
      </c>
      <c r="C45" s="1" t="str">
        <f>IF(C38&lt;61.3,"Impaired","Not Impaired")</f>
        <v>Not Impaired</v>
      </c>
      <c r="D45" s="1" t="str">
        <f>IF(D38&lt;61.3,"Impaired","Not Impaired")</f>
        <v>Not Impaired</v>
      </c>
      <c r="E45" s="1" t="str">
        <f>IF(E38&lt;61.3,"Impaired","Not Impaired")</f>
        <v>Not Impaired</v>
      </c>
      <c r="F45" s="1" t="str">
        <f>IF(F38&lt;61.3,"Impaired","Not Impaired")</f>
        <v>Not Impaired</v>
      </c>
    </row>
    <row r="46" ht="12.75">
      <c r="A46" s="8" t="s">
        <v>48</v>
      </c>
    </row>
    <row r="47" ht="12.75">
      <c r="A47" t="s">
        <v>60</v>
      </c>
    </row>
  </sheetData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B4" sqref="B4:F6"/>
    </sheetView>
  </sheetViews>
  <sheetFormatPr defaultColWidth="9.140625" defaultRowHeight="12.75"/>
  <cols>
    <col min="1" max="1" width="25.7109375" style="0" customWidth="1"/>
    <col min="2" max="2" width="11.140625" style="0" customWidth="1"/>
    <col min="3" max="3" width="11.28125" style="0" customWidth="1"/>
    <col min="4" max="4" width="12.00390625" style="0" customWidth="1"/>
    <col min="5" max="5" width="11.140625" style="0" customWidth="1"/>
    <col min="6" max="9" width="10.28125" style="0" customWidth="1"/>
    <col min="10" max="16384" width="8.8515625" style="0" customWidth="1"/>
  </cols>
  <sheetData>
    <row r="1" ht="12.75">
      <c r="A1" t="s">
        <v>20</v>
      </c>
    </row>
    <row r="4" spans="2:6" ht="12.75">
      <c r="B4" s="12" t="s">
        <v>189</v>
      </c>
      <c r="C4" s="12" t="s">
        <v>190</v>
      </c>
      <c r="D4" s="12" t="s">
        <v>191</v>
      </c>
      <c r="E4" s="12" t="s">
        <v>192</v>
      </c>
      <c r="F4" s="12" t="s">
        <v>193</v>
      </c>
    </row>
    <row r="5" spans="2:6" ht="12.75">
      <c r="B5" s="1" t="s">
        <v>194</v>
      </c>
      <c r="C5" s="1" t="s">
        <v>194</v>
      </c>
      <c r="D5" s="1" t="s">
        <v>194</v>
      </c>
      <c r="E5" s="1" t="s">
        <v>194</v>
      </c>
      <c r="F5" s="1" t="s">
        <v>194</v>
      </c>
    </row>
    <row r="6" spans="1:6" ht="12.75">
      <c r="A6" t="s">
        <v>179</v>
      </c>
      <c r="B6" s="18" t="s">
        <v>102</v>
      </c>
      <c r="C6" s="18" t="s">
        <v>102</v>
      </c>
      <c r="D6" s="18" t="s">
        <v>102</v>
      </c>
      <c r="E6" s="18" t="s">
        <v>102</v>
      </c>
      <c r="F6" s="18" t="s">
        <v>102</v>
      </c>
    </row>
    <row r="7" spans="1:6" ht="12.75">
      <c r="A7" t="s">
        <v>3</v>
      </c>
      <c r="B7">
        <f>COUNT(Data!F21:F30,Data!F38:F44,Data!F57:F67)</f>
        <v>8</v>
      </c>
      <c r="C7">
        <f>COUNT(Data!G21:G30,Data!G38:G44,Data!G57:G67)</f>
        <v>8</v>
      </c>
      <c r="D7">
        <f>COUNT(Data!H21:H30,Data!H38:H44,Data!H57:H67)</f>
        <v>8</v>
      </c>
      <c r="E7">
        <f>COUNT(Data!I21:I30,Data!I38:I44,Data!I57:I67)</f>
        <v>8</v>
      </c>
      <c r="F7">
        <f>COUNT(Data!J21:J30,Data!J38:J44,Data!J57:J67)</f>
        <v>8</v>
      </c>
    </row>
    <row r="8" spans="1:6" ht="12.75">
      <c r="A8" t="s">
        <v>35</v>
      </c>
      <c r="B8">
        <f>COUNT(Data!F21:F30)</f>
        <v>3</v>
      </c>
      <c r="C8">
        <f>COUNT(Data!G21:G30)</f>
        <v>3</v>
      </c>
      <c r="D8">
        <f>COUNT(Data!H21:H30)</f>
        <v>3</v>
      </c>
      <c r="E8">
        <f>COUNT(Data!I21:I30)</f>
        <v>3</v>
      </c>
      <c r="F8">
        <f>COUNT(Data!J21:J30)</f>
        <v>3</v>
      </c>
    </row>
    <row r="9" spans="1:6" ht="12.75">
      <c r="A9" t="s">
        <v>184</v>
      </c>
      <c r="B9" s="4">
        <f>SUM(Data!F21:F30)/Data!F81*100</f>
        <v>13.861386138613863</v>
      </c>
      <c r="C9" s="4">
        <f>SUM(Data!G21:G30)/Data!G81*100</f>
        <v>13.861386138613863</v>
      </c>
      <c r="D9" s="4">
        <f>SUM(Data!H21:H30)/Data!H81*100</f>
        <v>13.861386138613863</v>
      </c>
      <c r="E9" s="4">
        <f>SUM(Data!I21:I30)/Data!I81*100</f>
        <v>13.861386138613863</v>
      </c>
      <c r="F9" s="4">
        <f>SUM(Data!J21:J30)/Data!J81*100</f>
        <v>13.861386138613863</v>
      </c>
    </row>
    <row r="10" spans="1:6" ht="12.75">
      <c r="A10" t="s">
        <v>36</v>
      </c>
      <c r="B10" s="4">
        <f>(Data!B94)</f>
        <v>63.366336633663366</v>
      </c>
      <c r="C10" s="4">
        <f>(Data!C94)</f>
        <v>63.366336633663366</v>
      </c>
      <c r="D10" s="4">
        <f>(Data!D94)</f>
        <v>63.366336633663366</v>
      </c>
      <c r="E10" s="4">
        <f>(Data!E94)</f>
        <v>63.366336633663366</v>
      </c>
      <c r="F10" s="4">
        <f>(Data!F94)</f>
        <v>63.366336633663366</v>
      </c>
    </row>
    <row r="11" spans="1:6" ht="12.75">
      <c r="A11" t="s">
        <v>37</v>
      </c>
      <c r="B11" s="4">
        <f>(Data!B90)</f>
        <v>0.9568316831683168</v>
      </c>
      <c r="C11" s="4">
        <f>(Data!C90)</f>
        <v>0.9568316831683168</v>
      </c>
      <c r="D11" s="4">
        <f>(Data!D90)</f>
        <v>0.9568316831683168</v>
      </c>
      <c r="E11" s="4">
        <f>(Data!E90)</f>
        <v>0.9568316831683168</v>
      </c>
      <c r="F11" s="4">
        <f>(Data!F90)</f>
        <v>0.9568316831683168</v>
      </c>
    </row>
    <row r="12" spans="1:6" ht="12.75">
      <c r="A12" t="s">
        <v>38</v>
      </c>
      <c r="B12" s="4">
        <f>(Data!B91)</f>
        <v>4.603960396039604</v>
      </c>
      <c r="C12" s="4">
        <f>(Data!C91)</f>
        <v>4.603960396039604</v>
      </c>
      <c r="D12" s="4">
        <f>(Data!D91)</f>
        <v>4.603960396039604</v>
      </c>
      <c r="E12" s="4">
        <f>(Data!E91)</f>
        <v>4.603960396039604</v>
      </c>
      <c r="F12" s="4">
        <f>(Data!F91)</f>
        <v>4.603960396039604</v>
      </c>
    </row>
    <row r="13" spans="1:6" ht="12.75">
      <c r="A13" t="s">
        <v>39</v>
      </c>
      <c r="B13" s="4">
        <f>(MDmetrics!B12)</f>
        <v>5</v>
      </c>
      <c r="C13" s="4">
        <f>(MDmetrics!C12)</f>
        <v>5</v>
      </c>
      <c r="D13" s="4">
        <f>(MDmetrics!D12)</f>
        <v>5</v>
      </c>
      <c r="E13" s="4">
        <f>(MDmetrics!E12)</f>
        <v>5</v>
      </c>
      <c r="F13" s="4">
        <f>(MDmetrics!F12)</f>
        <v>5</v>
      </c>
    </row>
    <row r="14" spans="1:6" ht="12.75">
      <c r="A14" t="s">
        <v>40</v>
      </c>
      <c r="B14" s="4">
        <f>(Data!B101)</f>
        <v>11.881188118811881</v>
      </c>
      <c r="C14" s="4">
        <f>(Data!C101)</f>
        <v>11.881188118811881</v>
      </c>
      <c r="D14" s="4">
        <f>(Data!D101)</f>
        <v>11.881188118811881</v>
      </c>
      <c r="E14" s="4">
        <f>(Data!E101)</f>
        <v>11.881188118811881</v>
      </c>
      <c r="F14" s="4">
        <f>(Data!F101)</f>
        <v>11.881188118811881</v>
      </c>
    </row>
    <row r="15" spans="1:6" ht="12.75">
      <c r="A15" t="s">
        <v>167</v>
      </c>
      <c r="B15" s="4">
        <f>(Data!B98)</f>
        <v>61.386138613861384</v>
      </c>
      <c r="C15" s="4">
        <f>(Data!C98)</f>
        <v>61.386138613861384</v>
      </c>
      <c r="D15" s="4">
        <f>(Data!D98)</f>
        <v>61.386138613861384</v>
      </c>
      <c r="E15" s="4">
        <f>(Data!E98)</f>
        <v>61.386138613861384</v>
      </c>
      <c r="F15" s="4">
        <f>(Data!F98)</f>
        <v>61.386138613861384</v>
      </c>
    </row>
    <row r="18" ht="12.75">
      <c r="A18" t="s">
        <v>41</v>
      </c>
    </row>
    <row r="19" spans="1:6" ht="12.75">
      <c r="A19" t="s">
        <v>3</v>
      </c>
      <c r="B19">
        <f>IF(B7&gt;=8,2,IF(B7&lt;=2,0,1))</f>
        <v>2</v>
      </c>
      <c r="C19">
        <f>IF(C7&gt;=8,2,IF(C7&lt;=2,0,1))</f>
        <v>2</v>
      </c>
      <c r="D19">
        <f>IF(D7&gt;=8,2,IF(D7&lt;=2,0,1))</f>
        <v>2</v>
      </c>
      <c r="E19">
        <f>IF(E7&gt;=8,2,IF(E7&lt;=2,0,1))</f>
        <v>2</v>
      </c>
      <c r="F19">
        <f>IF(F7&gt;=8,2,IF(F7&lt;=2,0,1))</f>
        <v>2</v>
      </c>
    </row>
    <row r="20" spans="1:6" ht="12.75">
      <c r="A20" t="s">
        <v>35</v>
      </c>
      <c r="B20">
        <f>IF(B8&gt;=4,2,IF(B8=0,0,1))</f>
        <v>1</v>
      </c>
      <c r="C20">
        <f>IF(C8&gt;=4,2,IF(C8=0,0,1))</f>
        <v>1</v>
      </c>
      <c r="D20">
        <f>IF(D8&gt;=4,2,IF(D8=0,0,1))</f>
        <v>1</v>
      </c>
      <c r="E20">
        <f>IF(E8&gt;=4,2,IF(E8=0,0,1))</f>
        <v>1</v>
      </c>
      <c r="F20">
        <f>IF(F8&gt;=4,2,IF(F8=0,0,1))</f>
        <v>1</v>
      </c>
    </row>
    <row r="21" spans="1:6" ht="12.75">
      <c r="A21" t="s">
        <v>184</v>
      </c>
      <c r="B21">
        <f>IF(B9&gt;=18,2,IF(B9=0,0,1))</f>
        <v>1</v>
      </c>
      <c r="C21">
        <f>IF(C9&gt;=18,2,IF(C9=0,0,1))</f>
        <v>1</v>
      </c>
      <c r="D21">
        <f>IF(D9&gt;=18,2,IF(D9=0,0,1))</f>
        <v>1</v>
      </c>
      <c r="E21">
        <f>IF(E9&gt;=18,2,IF(E9=0,0,1))</f>
        <v>1</v>
      </c>
      <c r="F21">
        <f>IF(F9&gt;=18,2,IF(F9=0,0,1))</f>
        <v>1</v>
      </c>
    </row>
    <row r="22" spans="1:6" ht="12.75">
      <c r="A22" t="s">
        <v>36</v>
      </c>
      <c r="B22">
        <f>IF(B10&lt;=79,2,IF(B10=100,0,1))</f>
        <v>2</v>
      </c>
      <c r="C22">
        <f>IF(C10&lt;=79,2,IF(C10=100,0,1))</f>
        <v>2</v>
      </c>
      <c r="D22">
        <f>IF(D10&lt;=79,2,IF(D10=100,0,1))</f>
        <v>2</v>
      </c>
      <c r="E22">
        <f>IF(E10&lt;=79,2,IF(E10=100,0,1))</f>
        <v>2</v>
      </c>
      <c r="F22">
        <f>IF(F10&lt;=79,2,IF(F10=100,0,1))</f>
        <v>2</v>
      </c>
    </row>
    <row r="23" spans="1:6" ht="12.75">
      <c r="A23" t="s">
        <v>37</v>
      </c>
      <c r="B23">
        <f>IF(B11&gt;=0.83,2,IF(B11&lt;=0.66,0,1))</f>
        <v>2</v>
      </c>
      <c r="C23">
        <f>IF(C11&gt;=0.83,2,IF(C11&lt;=0.66,0,1))</f>
        <v>2</v>
      </c>
      <c r="D23">
        <f>IF(D11&gt;=0.83,2,IF(D11&lt;=0.66,0,1))</f>
        <v>2</v>
      </c>
      <c r="E23">
        <f>IF(E11&gt;=0.83,2,IF(E11&lt;=0.66,0,1))</f>
        <v>2</v>
      </c>
      <c r="F23">
        <f>IF(F11&gt;=0.83,2,IF(F11&lt;=0.66,0,1))</f>
        <v>2</v>
      </c>
    </row>
    <row r="24" spans="1:6" ht="12.75">
      <c r="A24" t="s">
        <v>38</v>
      </c>
      <c r="B24">
        <f>IF(B12&lt;=4.21,2,IF(B12&gt;=5.56,0,1))</f>
        <v>1</v>
      </c>
      <c r="C24">
        <f>IF(C12&lt;=4.21,2,IF(C12&gt;=5.56,0,1))</f>
        <v>1</v>
      </c>
      <c r="D24">
        <f>IF(D12&lt;=4.21,2,IF(D12&gt;=5.56,0,1))</f>
        <v>1</v>
      </c>
      <c r="E24">
        <f>IF(E12&lt;=4.21,2,IF(E12&gt;=5.56,0,1))</f>
        <v>1</v>
      </c>
      <c r="F24">
        <f>IF(F12&lt;=4.21,2,IF(F12&gt;=5.56,0,1))</f>
        <v>1</v>
      </c>
    </row>
    <row r="25" spans="1:6" ht="12.75">
      <c r="A25" t="s">
        <v>39</v>
      </c>
      <c r="B25">
        <f>IF(B13&gt;=10,2,IF(B13&lt;=1,0,1))</f>
        <v>1</v>
      </c>
      <c r="C25">
        <f>IF(C13&gt;=10,2,IF(C13&lt;=1,0,1))</f>
        <v>1</v>
      </c>
      <c r="D25">
        <f>IF(D13&gt;=10,2,IF(D13&lt;=1,0,1))</f>
        <v>1</v>
      </c>
      <c r="E25">
        <f>IF(E13&gt;=10,2,IF(E13&lt;=1,0,1))</f>
        <v>1</v>
      </c>
      <c r="F25">
        <f>IF(F13&gt;=10,2,IF(F13&lt;=1,0,1))</f>
        <v>1</v>
      </c>
    </row>
    <row r="26" spans="1:6" ht="12.75">
      <c r="A26" t="s">
        <v>40</v>
      </c>
      <c r="B26">
        <f>IF(B14&gt;=11,2,IF(B14=0,0,1))</f>
        <v>2</v>
      </c>
      <c r="C26">
        <f>IF(C14&gt;=11,2,IF(C14=0,0,1))</f>
        <v>2</v>
      </c>
      <c r="D26">
        <f>IF(D14&gt;=11,2,IF(D14=0,0,1))</f>
        <v>2</v>
      </c>
      <c r="E26">
        <f>IF(E14&gt;=11,2,IF(E14=0,0,1))</f>
        <v>2</v>
      </c>
      <c r="F26">
        <f>IF(F14&gt;=11,2,IF(F14=0,0,1))</f>
        <v>2</v>
      </c>
    </row>
    <row r="27" spans="1:6" ht="12.75">
      <c r="A27" t="s">
        <v>167</v>
      </c>
      <c r="B27">
        <f>IF(B15&gt;=84,2,IF(B15&lt;=52,0,1))</f>
        <v>1</v>
      </c>
      <c r="C27">
        <f>IF(C15&gt;=84,2,IF(C15&lt;=52,0,1))</f>
        <v>1</v>
      </c>
      <c r="D27">
        <f>IF(D15&gt;=84,2,IF(D15&lt;=52,0,1))</f>
        <v>1</v>
      </c>
      <c r="E27">
        <f>IF(E15&gt;=84,2,IF(E15&lt;=52,0,1))</f>
        <v>1</v>
      </c>
      <c r="F27">
        <f>IF(F15&gt;=84,2,IF(F15&lt;=52,0,1))</f>
        <v>1</v>
      </c>
    </row>
    <row r="29" spans="1:6" ht="12.75">
      <c r="A29" t="s">
        <v>42</v>
      </c>
      <c r="B29">
        <f>SUM(B19:B27)</f>
        <v>13</v>
      </c>
      <c r="C29">
        <f>SUM(C19:C27)</f>
        <v>13</v>
      </c>
      <c r="D29">
        <f>SUM(D19:D27)</f>
        <v>13</v>
      </c>
      <c r="E29">
        <f>SUM(E19:E27)</f>
        <v>13</v>
      </c>
      <c r="F29">
        <f>SUM(F19:F27)</f>
        <v>13</v>
      </c>
    </row>
    <row r="31" spans="1:6" ht="12.75">
      <c r="A31" t="s">
        <v>43</v>
      </c>
      <c r="B31" s="9" t="str">
        <f>IF(B29&lt;=6,"Very Poor",IF(AND(7&lt;=B29,B29&lt;=12),"Poor",IF(AND(13&lt;=B29,B29&lt;=16),"Good","Very Good")))</f>
        <v>Good</v>
      </c>
      <c r="C31" s="9" t="str">
        <f>IF(C29&lt;=6,"Very Poor",IF(AND(7&lt;=C29,C29&lt;=12),"Poor",IF(AND(13&lt;=C29,C29&lt;=16),"Good","Very Good")))</f>
        <v>Good</v>
      </c>
      <c r="D31" s="9" t="str">
        <f>IF(D29&lt;=6,"Very Poor",IF(AND(7&lt;=D29,D29&lt;=12),"Poor",IF(AND(13&lt;=D29,D29&lt;=16),"Good","Very Good")))</f>
        <v>Good</v>
      </c>
      <c r="E31" s="9" t="str">
        <f>IF(E29&lt;=6,"Very Poor",IF(AND(7&lt;=E29,E29&lt;=12),"Poor",IF(AND(13&lt;=E29,E29&lt;=16),"Good","Very Good")))</f>
        <v>Good</v>
      </c>
      <c r="F31" s="9" t="str">
        <f>IF(F29&lt;=6,"Very Poor",IF(AND(7&lt;=F29,F29&lt;=12),"Poor",IF(AND(13&lt;=F29,F29&lt;=16),"Good","Very Good")))</f>
        <v>Good</v>
      </c>
    </row>
    <row r="32" ht="12.75">
      <c r="A32" t="s">
        <v>44</v>
      </c>
    </row>
    <row r="33" ht="12.75">
      <c r="A33" t="s">
        <v>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 Aquatic 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Hiner</dc:creator>
  <cp:keywords/>
  <dc:description/>
  <cp:lastModifiedBy>Nicholas Grant</cp:lastModifiedBy>
  <cp:lastPrinted>2006-02-05T20:39:13Z</cp:lastPrinted>
  <dcterms:created xsi:type="dcterms:W3CDTF">2003-05-13T12:54:53Z</dcterms:created>
  <dcterms:modified xsi:type="dcterms:W3CDTF">2007-11-20T23:30:39Z</dcterms:modified>
  <cp:category/>
  <cp:version/>
  <cp:contentType/>
  <cp:contentStatus/>
</cp:coreProperties>
</file>