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IFA-1NCapitol\Media\Website_RestOct14\Web site\Web updates\2019\"/>
    </mc:Choice>
  </mc:AlternateContent>
  <bookViews>
    <workbookView xWindow="0" yWindow="0" windowWidth="23040" windowHeight="9210" tabRatio="887" firstSheet="5" activeTab="10"/>
  </bookViews>
  <sheets>
    <sheet name="Cap Plan P1" sheetId="18" r:id="rId1"/>
    <sheet name="Cap Plan P2" sheetId="59" r:id="rId2"/>
    <sheet name="Out. Bonds" sheetId="44" r:id="rId3"/>
    <sheet name="Proj Cost" sheetId="7" r:id="rId4"/>
    <sheet name="Proposed Bonds 1" sheetId="60" r:id="rId5"/>
    <sheet name="Proposed Bonds 2" sheetId="65" r:id="rId6"/>
    <sheet name="Comb. Amortization" sheetId="13" r:id="rId7"/>
    <sheet name="OpDis" sheetId="10" r:id="rId8"/>
    <sheet name="Cash Flow P1" sheetId="47" r:id="rId9"/>
    <sheet name="Cash Flow P2" sheetId="66" r:id="rId10"/>
    <sheet name="Ref" sheetId="48" r:id="rId11"/>
    <sheet name="Financial Stmt Cash 1" sheetId="21" r:id="rId12"/>
    <sheet name="Financial Stmt Cash 2" sheetId="22" r:id="rId13"/>
    <sheet name="Financial Statement Accrual" sheetId="61" r:id="rId14"/>
  </sheets>
  <externalReferences>
    <externalReference r:id="rId15"/>
    <externalReference r:id="rId16"/>
  </externalReferences>
  <definedNames>
    <definedName name="____GF08" localSheetId="1" hidden="1">#REF!</definedName>
    <definedName name="____GF08" localSheetId="9" hidden="1">#REF!</definedName>
    <definedName name="____GF08" localSheetId="13" hidden="1">#REF!</definedName>
    <definedName name="____GF08" localSheetId="4" hidden="1">#REF!</definedName>
    <definedName name="____GF08" localSheetId="5" hidden="1">#REF!</definedName>
    <definedName name="____GF08" localSheetId="10" hidden="1">#REF!</definedName>
    <definedName name="____GF08" hidden="1">#REF!</definedName>
    <definedName name="___GF08" localSheetId="1" hidden="1">#REF!</definedName>
    <definedName name="___GF08" localSheetId="9" hidden="1">#REF!</definedName>
    <definedName name="___GF08" localSheetId="13" hidden="1">#REF!</definedName>
    <definedName name="___GF08" localSheetId="4" hidden="1">#REF!</definedName>
    <definedName name="___GF08" localSheetId="5" hidden="1">#REF!</definedName>
    <definedName name="___GF08" localSheetId="10" hidden="1">#REF!</definedName>
    <definedName name="___GF08" hidden="1">#REF!</definedName>
    <definedName name="__IntlFixup" hidden="1">TRUE</definedName>
    <definedName name="_GF08" localSheetId="1" hidden="1">#REF!</definedName>
    <definedName name="_GF08" localSheetId="9" hidden="1">#REF!</definedName>
    <definedName name="_GF08" localSheetId="13" hidden="1">#REF!</definedName>
    <definedName name="_GF08" localSheetId="4" hidden="1">#REF!</definedName>
    <definedName name="_GF08" localSheetId="5" hidden="1">#REF!</definedName>
    <definedName name="_GF08" localSheetId="10" hidden="1">#REF!</definedName>
    <definedName name="_GF08" hidden="1">#REF!</definedName>
    <definedName name="_Key1" localSheetId="1" hidden="1">[1]WATER04FINAL!#REF!</definedName>
    <definedName name="_Key1" localSheetId="9" hidden="1">[1]WATER04FINAL!#REF!</definedName>
    <definedName name="_Key1" localSheetId="13" hidden="1">[1]WATER04FINAL!#REF!</definedName>
    <definedName name="_Key1" localSheetId="4" hidden="1">[1]WATER04FINAL!#REF!</definedName>
    <definedName name="_Key1" localSheetId="5" hidden="1">[1]WATER04FINAL!#REF!</definedName>
    <definedName name="_Key1" localSheetId="10" hidden="1">[1]WATER04FINAL!#REF!</definedName>
    <definedName name="_Key1" hidden="1">[1]WATER04FINAL!#REF!</definedName>
    <definedName name="_Key2" localSheetId="1" hidden="1">[1]WATER04FINAL!#REF!</definedName>
    <definedName name="_Key2" localSheetId="9" hidden="1">[1]WATER04FINAL!#REF!</definedName>
    <definedName name="_Key2" localSheetId="13" hidden="1">[1]WATER04FINAL!#REF!</definedName>
    <definedName name="_Key2" localSheetId="4" hidden="1">[1]WATER04FINAL!#REF!</definedName>
    <definedName name="_Key2" localSheetId="5" hidden="1">[1]WATER04FINAL!#REF!</definedName>
    <definedName name="_Key2" localSheetId="10" hidden="1">[1]WATER04FINAL!#REF!</definedName>
    <definedName name="_Key2" hidden="1">[1]WATER04FINAL!#REF!</definedName>
    <definedName name="_Order1" hidden="1">255</definedName>
    <definedName name="_Order2" hidden="1">255</definedName>
    <definedName name="ADFA" localSheetId="1" hidden="1">[1]WATER04FINAL!#REF!</definedName>
    <definedName name="ADFA" localSheetId="9" hidden="1">[1]WATER04FINAL!#REF!</definedName>
    <definedName name="ADFA" localSheetId="13" hidden="1">[1]WATER04FINAL!#REF!</definedName>
    <definedName name="ADFA" localSheetId="4" hidden="1">[1]WATER04FINAL!#REF!</definedName>
    <definedName name="ADFA" localSheetId="5" hidden="1">[1]WATER04FINAL!#REF!</definedName>
    <definedName name="ADFA" localSheetId="10" hidden="1">[1]WATER04FINAL!#REF!</definedName>
    <definedName name="ADFA" hidden="1">[1]WATER04FINAL!#REF!</definedName>
    <definedName name="adfad" localSheetId="1" hidden="1">#REF!</definedName>
    <definedName name="adfad" localSheetId="9" hidden="1">#REF!</definedName>
    <definedName name="adfad" localSheetId="13" hidden="1">#REF!</definedName>
    <definedName name="adfad" localSheetId="4" hidden="1">#REF!</definedName>
    <definedName name="adfad" localSheetId="5" hidden="1">#REF!</definedName>
    <definedName name="adfad" localSheetId="10" hidden="1">#REF!</definedName>
    <definedName name="adfad" hidden="1">#REF!</definedName>
    <definedName name="BAB.A" localSheetId="1" hidden="1">#REF!</definedName>
    <definedName name="BAB.A" localSheetId="9" hidden="1">#REF!</definedName>
    <definedName name="BAB.A" localSheetId="13" hidden="1">#REF!</definedName>
    <definedName name="BAB.A" localSheetId="4" hidden="1">#REF!</definedName>
    <definedName name="BAB.A" localSheetId="5" hidden="1">#REF!</definedName>
    <definedName name="BAB.A" localSheetId="10" hidden="1">#REF!</definedName>
    <definedName name="BAB.A" hidden="1">#REF!</definedName>
    <definedName name="NEW" localSheetId="9" hidden="1">#REF!</definedName>
    <definedName name="NEW" localSheetId="5" hidden="1">#REF!</definedName>
    <definedName name="NEW" hidden="1">#REF!</definedName>
    <definedName name="_xlnm.Print_Area" localSheetId="0">'Cap Plan P1'!$A$1:$W$46</definedName>
    <definedName name="_xlnm.Print_Area" localSheetId="1">'Cap Plan P2'!$A$1:$Y$45</definedName>
    <definedName name="_xlnm.Print_Area" localSheetId="8">'Cash Flow P1'!$A$1:$V$57</definedName>
    <definedName name="_xlnm.Print_Area" localSheetId="9">'Cash Flow P2'!$A$1:$V$57</definedName>
    <definedName name="_xlnm.Print_Area" localSheetId="6">'Comb. Amortization'!$A$1:$K$70</definedName>
    <definedName name="_xlnm.Print_Area" localSheetId="13">'Financial Statement Accrual'!$A$1:$H$63</definedName>
    <definedName name="_xlnm.Print_Area" localSheetId="11">'Financial Stmt Cash 1'!$A$1:$G$49</definedName>
    <definedName name="_xlnm.Print_Area" localSheetId="12">'Financial Stmt Cash 2'!$A$1:$H$65</definedName>
    <definedName name="_xlnm.Print_Area" localSheetId="7">OpDis!$A$1:$I$41</definedName>
    <definedName name="_xlnm.Print_Area" localSheetId="2">'Out. Bonds'!$A$1:$M$48</definedName>
    <definedName name="_xlnm.Print_Area" localSheetId="3">'Proj Cost'!$A$1:$E$45</definedName>
    <definedName name="_xlnm.Print_Area" localSheetId="4">'Proposed Bonds 1'!$A$1:$M$57</definedName>
    <definedName name="_xlnm.Print_Area" localSheetId="5">'Proposed Bonds 2'!$A$1:$M$57</definedName>
    <definedName name="_xlnm.Print_Area" localSheetId="10">Ref!$A$1:$M$34</definedName>
    <definedName name="S08MAY" localSheetId="1" hidden="1">[2]WATER04FINAL!#REF!</definedName>
    <definedName name="S08MAY" localSheetId="9" hidden="1">[2]WATER04FINAL!#REF!</definedName>
    <definedName name="S08MAY" localSheetId="13" hidden="1">[2]WATER04FINAL!#REF!</definedName>
    <definedName name="S08MAY" localSheetId="4" hidden="1">[2]WATER04FINAL!#REF!</definedName>
    <definedName name="S08MAY" localSheetId="5" hidden="1">[2]WATER04FINAL!#REF!</definedName>
    <definedName name="S08MAY" localSheetId="10" hidden="1">[2]WATER04FINAL!#REF!</definedName>
    <definedName name="S08MAY" hidden="1">[2]WATER04FINAL!#REF!</definedName>
  </definedNames>
  <calcPr calcId="152511" iterate="1"/>
</workbook>
</file>

<file path=xl/calcChain.xml><?xml version="1.0" encoding="utf-8"?>
<calcChain xmlns="http://schemas.openxmlformats.org/spreadsheetml/2006/main">
  <c r="V35" i="66" l="1"/>
  <c r="T35" i="66"/>
  <c r="R35" i="66"/>
  <c r="P35" i="66"/>
  <c r="N35" i="66"/>
  <c r="L35" i="66"/>
  <c r="J35" i="66"/>
  <c r="H35" i="66"/>
  <c r="F35" i="66"/>
  <c r="D35" i="66"/>
  <c r="J33" i="66"/>
  <c r="H33" i="66"/>
  <c r="F33" i="66"/>
  <c r="D33" i="66"/>
  <c r="D47" i="66"/>
  <c r="D49" i="66" s="1"/>
  <c r="Y21" i="66"/>
  <c r="D17" i="66"/>
  <c r="F17" i="66" s="1"/>
  <c r="H17" i="66" s="1"/>
  <c r="J17" i="66" s="1"/>
  <c r="L17" i="66" s="1"/>
  <c r="N17" i="66" s="1"/>
  <c r="P17" i="66" s="1"/>
  <c r="R17" i="66" s="1"/>
  <c r="T17" i="66" s="1"/>
  <c r="V17" i="66" s="1"/>
  <c r="D16" i="66"/>
  <c r="D14" i="66"/>
  <c r="D13" i="66"/>
  <c r="D12" i="66"/>
  <c r="D11" i="66"/>
  <c r="D10" i="66"/>
  <c r="A57" i="66"/>
  <c r="F34" i="66"/>
  <c r="H34" i="66" s="1"/>
  <c r="J34" i="66" s="1"/>
  <c r="L34" i="66" s="1"/>
  <c r="F29" i="66"/>
  <c r="D29" i="66"/>
  <c r="F27" i="66"/>
  <c r="H27" i="66" s="1"/>
  <c r="J27" i="66" s="1"/>
  <c r="L27" i="66" s="1"/>
  <c r="N27" i="66" s="1"/>
  <c r="P27" i="66" s="1"/>
  <c r="R27" i="66" s="1"/>
  <c r="T27" i="66" s="1"/>
  <c r="V27" i="66" s="1"/>
  <c r="F26" i="66"/>
  <c r="H26" i="66" s="1"/>
  <c r="F16" i="66"/>
  <c r="H16" i="66" s="1"/>
  <c r="J16" i="66" s="1"/>
  <c r="L16" i="66" s="1"/>
  <c r="N16" i="66" s="1"/>
  <c r="P16" i="66" s="1"/>
  <c r="R16" i="66" s="1"/>
  <c r="T16" i="66" s="1"/>
  <c r="V16" i="66" s="1"/>
  <c r="F14" i="66"/>
  <c r="H14" i="66" s="1"/>
  <c r="J14" i="66" s="1"/>
  <c r="L14" i="66" s="1"/>
  <c r="N14" i="66" s="1"/>
  <c r="P14" i="66" s="1"/>
  <c r="R14" i="66" s="1"/>
  <c r="T14" i="66" s="1"/>
  <c r="V14" i="66" s="1"/>
  <c r="F13" i="66"/>
  <c r="H13" i="66" s="1"/>
  <c r="J13" i="66" s="1"/>
  <c r="L13" i="66" s="1"/>
  <c r="N13" i="66" s="1"/>
  <c r="P13" i="66" s="1"/>
  <c r="R13" i="66" s="1"/>
  <c r="T13" i="66" s="1"/>
  <c r="V13" i="66" s="1"/>
  <c r="F12" i="66"/>
  <c r="H12" i="66" s="1"/>
  <c r="J12" i="66" s="1"/>
  <c r="L12" i="66" s="1"/>
  <c r="N12" i="66" s="1"/>
  <c r="P12" i="66" s="1"/>
  <c r="R12" i="66" s="1"/>
  <c r="T12" i="66" s="1"/>
  <c r="V12" i="66" s="1"/>
  <c r="F11" i="66"/>
  <c r="F10" i="66"/>
  <c r="H10" i="66" s="1"/>
  <c r="F7" i="66"/>
  <c r="H7" i="66" s="1"/>
  <c r="J7" i="66" s="1"/>
  <c r="L7" i="66" s="1"/>
  <c r="N7" i="66" s="1"/>
  <c r="P7" i="66" s="1"/>
  <c r="R7" i="66" s="1"/>
  <c r="T7" i="66" s="1"/>
  <c r="V7" i="66" s="1"/>
  <c r="A1" i="66"/>
  <c r="A34" i="48"/>
  <c r="A57" i="65"/>
  <c r="V15" i="47"/>
  <c r="T15" i="47"/>
  <c r="R15" i="47"/>
  <c r="P15" i="47"/>
  <c r="N15" i="47"/>
  <c r="L15" i="47"/>
  <c r="J15" i="47"/>
  <c r="H15" i="47"/>
  <c r="F15" i="47"/>
  <c r="P11" i="65"/>
  <c r="D23" i="47"/>
  <c r="V47" i="47"/>
  <c r="T47" i="47"/>
  <c r="R47" i="47"/>
  <c r="P47" i="47"/>
  <c r="N47" i="47"/>
  <c r="L47" i="47"/>
  <c r="J47" i="47"/>
  <c r="H47" i="47"/>
  <c r="F47" i="47"/>
  <c r="V27" i="47"/>
  <c r="T27" i="47"/>
  <c r="R27" i="47"/>
  <c r="P27" i="47"/>
  <c r="N27" i="47"/>
  <c r="L27" i="47"/>
  <c r="J27" i="47"/>
  <c r="H27" i="47"/>
  <c r="F27" i="47"/>
  <c r="V26" i="47"/>
  <c r="T26" i="47"/>
  <c r="R26" i="47"/>
  <c r="P26" i="47"/>
  <c r="N26" i="47"/>
  <c r="L26" i="47"/>
  <c r="J26" i="47"/>
  <c r="H26" i="47"/>
  <c r="F26" i="47"/>
  <c r="F47" i="66" l="1"/>
  <c r="F49" i="66" s="1"/>
  <c r="D15" i="66"/>
  <c r="J26" i="66"/>
  <c r="H29" i="66"/>
  <c r="N34" i="66"/>
  <c r="P34" i="66" s="1"/>
  <c r="R34" i="66" s="1"/>
  <c r="T34" i="66" s="1"/>
  <c r="J10" i="66"/>
  <c r="H11" i="66"/>
  <c r="J11" i="66" s="1"/>
  <c r="L11" i="66" s="1"/>
  <c r="N11" i="66" s="1"/>
  <c r="P11" i="66" s="1"/>
  <c r="R11" i="66" s="1"/>
  <c r="T11" i="66" s="1"/>
  <c r="V11" i="66" s="1"/>
  <c r="H10" i="47"/>
  <c r="D49" i="47"/>
  <c r="F49" i="47"/>
  <c r="F21" i="47"/>
  <c r="F19" i="47"/>
  <c r="D47" i="47"/>
  <c r="I11" i="10"/>
  <c r="F14" i="47"/>
  <c r="H14" i="47" s="1"/>
  <c r="J14" i="47" s="1"/>
  <c r="L14" i="47" s="1"/>
  <c r="N14" i="47" s="1"/>
  <c r="P14" i="47" s="1"/>
  <c r="R14" i="47" s="1"/>
  <c r="T14" i="47" s="1"/>
  <c r="V14" i="47" s="1"/>
  <c r="F13" i="47"/>
  <c r="H13" i="47" s="1"/>
  <c r="J13" i="47" s="1"/>
  <c r="L13" i="47" s="1"/>
  <c r="N13" i="47" s="1"/>
  <c r="P13" i="47" s="1"/>
  <c r="R13" i="47" s="1"/>
  <c r="T13" i="47" s="1"/>
  <c r="V13" i="47" s="1"/>
  <c r="F12" i="47"/>
  <c r="H12" i="47" s="1"/>
  <c r="J12" i="47" s="1"/>
  <c r="L12" i="47" s="1"/>
  <c r="N12" i="47" s="1"/>
  <c r="P12" i="47" s="1"/>
  <c r="R12" i="47" s="1"/>
  <c r="T12" i="47" s="1"/>
  <c r="V12" i="47" s="1"/>
  <c r="F11" i="47"/>
  <c r="H11" i="47" s="1"/>
  <c r="J11" i="47" s="1"/>
  <c r="L11" i="47" s="1"/>
  <c r="N11" i="47" s="1"/>
  <c r="P11" i="47" s="1"/>
  <c r="R11" i="47" s="1"/>
  <c r="T11" i="47" s="1"/>
  <c r="V11" i="47" s="1"/>
  <c r="F10" i="47"/>
  <c r="J10" i="47" s="1"/>
  <c r="L10" i="47" s="1"/>
  <c r="N10" i="47" s="1"/>
  <c r="P10" i="47" s="1"/>
  <c r="R10" i="47" s="1"/>
  <c r="T10" i="47" s="1"/>
  <c r="V10" i="47" s="1"/>
  <c r="F16" i="47"/>
  <c r="H16" i="47" s="1"/>
  <c r="J16" i="47" s="1"/>
  <c r="L16" i="47" s="1"/>
  <c r="N16" i="47" s="1"/>
  <c r="P16" i="47" s="1"/>
  <c r="R16" i="47" s="1"/>
  <c r="T16" i="47" s="1"/>
  <c r="V16" i="47" s="1"/>
  <c r="F23" i="47" l="1"/>
  <c r="F51" i="47" s="1"/>
  <c r="D19" i="66"/>
  <c r="H47" i="66"/>
  <c r="J47" i="66" s="1"/>
  <c r="F15" i="66"/>
  <c r="H15" i="66" s="1"/>
  <c r="J15" i="66" s="1"/>
  <c r="L15" i="66" s="1"/>
  <c r="L10" i="66"/>
  <c r="J29" i="66"/>
  <c r="L26" i="66"/>
  <c r="H49" i="66"/>
  <c r="V34" i="66"/>
  <c r="J32" i="47"/>
  <c r="H32" i="47"/>
  <c r="F32" i="47"/>
  <c r="D32" i="47"/>
  <c r="K65" i="13"/>
  <c r="K63" i="13"/>
  <c r="K61" i="13"/>
  <c r="K59" i="13"/>
  <c r="K15" i="13"/>
  <c r="K13" i="13"/>
  <c r="K11" i="13"/>
  <c r="K9" i="13"/>
  <c r="I62" i="13"/>
  <c r="I65" i="13"/>
  <c r="I64" i="13"/>
  <c r="C39" i="13"/>
  <c r="E43" i="44"/>
  <c r="I43" i="44"/>
  <c r="K43" i="44" s="1"/>
  <c r="F34" i="47"/>
  <c r="H34" i="47" s="1"/>
  <c r="J34" i="47" s="1"/>
  <c r="L34" i="47" s="1"/>
  <c r="N34" i="47" s="1"/>
  <c r="P34" i="47" s="1"/>
  <c r="R34" i="47" s="1"/>
  <c r="T34" i="47" s="1"/>
  <c r="V34" i="47" s="1"/>
  <c r="F17" i="47"/>
  <c r="H17" i="47" s="1"/>
  <c r="J17" i="47" s="1"/>
  <c r="L17" i="47" s="1"/>
  <c r="N17" i="47" s="1"/>
  <c r="P17" i="47" s="1"/>
  <c r="R17" i="47" s="1"/>
  <c r="T17" i="47" s="1"/>
  <c r="V17" i="47" s="1"/>
  <c r="O10" i="10"/>
  <c r="K10" i="10"/>
  <c r="E20" i="10"/>
  <c r="E18" i="10"/>
  <c r="E17" i="10"/>
  <c r="E16" i="10"/>
  <c r="E14" i="10"/>
  <c r="E13" i="10"/>
  <c r="G65" i="13"/>
  <c r="G64" i="13"/>
  <c r="I63" i="13" s="1"/>
  <c r="G63" i="13"/>
  <c r="G62" i="13"/>
  <c r="I61" i="13" s="1"/>
  <c r="G61" i="13"/>
  <c r="I60" i="13" s="1"/>
  <c r="G60" i="13"/>
  <c r="I59" i="13" s="1"/>
  <c r="G59" i="13"/>
  <c r="I58" i="13" s="1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F19" i="66" l="1"/>
  <c r="H19" i="66"/>
  <c r="L29" i="66"/>
  <c r="N26" i="66"/>
  <c r="L47" i="66"/>
  <c r="J49" i="66"/>
  <c r="L19" i="66"/>
  <c r="N10" i="66"/>
  <c r="N15" i="66"/>
  <c r="J19" i="66"/>
  <c r="G67" i="13"/>
  <c r="E52" i="65"/>
  <c r="I52" i="65" s="1"/>
  <c r="K52" i="65" s="1"/>
  <c r="E51" i="65"/>
  <c r="E50" i="65"/>
  <c r="E49" i="65"/>
  <c r="E48" i="65"/>
  <c r="E47" i="65"/>
  <c r="E46" i="65"/>
  <c r="E45" i="65"/>
  <c r="E44" i="65"/>
  <c r="E43" i="65"/>
  <c r="E42" i="65"/>
  <c r="E41" i="65"/>
  <c r="E40" i="65"/>
  <c r="E39" i="65"/>
  <c r="E38" i="65"/>
  <c r="E37" i="65"/>
  <c r="E36" i="65"/>
  <c r="E35" i="65"/>
  <c r="E34" i="65"/>
  <c r="E33" i="65"/>
  <c r="E32" i="65"/>
  <c r="E31" i="65"/>
  <c r="E30" i="65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14" i="65"/>
  <c r="E13" i="65"/>
  <c r="C13" i="65"/>
  <c r="A1" i="65"/>
  <c r="E19" i="7"/>
  <c r="C19" i="7"/>
  <c r="E13" i="7"/>
  <c r="C13" i="7"/>
  <c r="I28" i="59"/>
  <c r="K28" i="59" s="1"/>
  <c r="M28" i="59" s="1"/>
  <c r="O28" i="59" s="1"/>
  <c r="Q28" i="59" s="1"/>
  <c r="S28" i="59" s="1"/>
  <c r="U28" i="59" s="1"/>
  <c r="W28" i="59" s="1"/>
  <c r="G28" i="59"/>
  <c r="K22" i="59"/>
  <c r="M22" i="59" s="1"/>
  <c r="O22" i="59" s="1"/>
  <c r="Q22" i="59" s="1"/>
  <c r="S22" i="59" s="1"/>
  <c r="U22" i="59" s="1"/>
  <c r="W22" i="59" s="1"/>
  <c r="I22" i="59"/>
  <c r="G22" i="59"/>
  <c r="G12" i="59"/>
  <c r="I12" i="59" s="1"/>
  <c r="Y26" i="59"/>
  <c r="Y24" i="59"/>
  <c r="G30" i="59"/>
  <c r="G33" i="59" s="1"/>
  <c r="E30" i="59"/>
  <c r="E33" i="59" s="1"/>
  <c r="C24" i="59"/>
  <c r="C22" i="59"/>
  <c r="C20" i="59"/>
  <c r="Y20" i="59" s="1"/>
  <c r="C14" i="59"/>
  <c r="Y14" i="59" s="1"/>
  <c r="C12" i="59"/>
  <c r="E28" i="18"/>
  <c r="G28" i="18" s="1"/>
  <c r="E22" i="18"/>
  <c r="G22" i="18" s="1"/>
  <c r="U12" i="18"/>
  <c r="S12" i="18"/>
  <c r="Q12" i="18"/>
  <c r="O12" i="18"/>
  <c r="M12" i="18"/>
  <c r="K12" i="18"/>
  <c r="I12" i="18"/>
  <c r="G12" i="18"/>
  <c r="E12" i="18"/>
  <c r="W26" i="18"/>
  <c r="W24" i="18"/>
  <c r="W20" i="18"/>
  <c r="W18" i="18"/>
  <c r="C18" i="59" s="1"/>
  <c r="Y18" i="59" s="1"/>
  <c r="W16" i="18"/>
  <c r="C16" i="59" s="1"/>
  <c r="Y16" i="59" s="1"/>
  <c r="W14" i="18"/>
  <c r="W10" i="18"/>
  <c r="C10" i="59" s="1"/>
  <c r="Y10" i="59" s="1"/>
  <c r="W31" i="18"/>
  <c r="C31" i="59" s="1"/>
  <c r="Y31" i="59" s="1"/>
  <c r="C30" i="18"/>
  <c r="C33" i="18" s="1"/>
  <c r="D35" i="47" l="1"/>
  <c r="E30" i="18"/>
  <c r="E33" i="18" s="1"/>
  <c r="N47" i="66"/>
  <c r="L49" i="66"/>
  <c r="N19" i="66"/>
  <c r="P10" i="66"/>
  <c r="P26" i="66"/>
  <c r="N29" i="66"/>
  <c r="C14" i="65"/>
  <c r="C15" i="65"/>
  <c r="C16" i="65" s="1"/>
  <c r="C17" i="65" s="1"/>
  <c r="C18" i="65" s="1"/>
  <c r="C19" i="65" s="1"/>
  <c r="C20" i="65" s="1"/>
  <c r="C21" i="65" s="1"/>
  <c r="C22" i="65" s="1"/>
  <c r="C23" i="65" s="1"/>
  <c r="C24" i="65" s="1"/>
  <c r="C25" i="65" s="1"/>
  <c r="C26" i="65" s="1"/>
  <c r="C27" i="65" s="1"/>
  <c r="C28" i="65" s="1"/>
  <c r="C29" i="65" s="1"/>
  <c r="C30" i="65" s="1"/>
  <c r="C31" i="65" s="1"/>
  <c r="C32" i="65" s="1"/>
  <c r="C33" i="65" s="1"/>
  <c r="C34" i="65" s="1"/>
  <c r="C35" i="65" s="1"/>
  <c r="C36" i="65" s="1"/>
  <c r="C37" i="65" s="1"/>
  <c r="C38" i="65" s="1"/>
  <c r="C39" i="65" s="1"/>
  <c r="C40" i="65" s="1"/>
  <c r="C41" i="65" s="1"/>
  <c r="C42" i="65" s="1"/>
  <c r="C43" i="65" s="1"/>
  <c r="C44" i="65" s="1"/>
  <c r="C45" i="65" s="1"/>
  <c r="C46" i="65" s="1"/>
  <c r="C47" i="65" s="1"/>
  <c r="C48" i="65" s="1"/>
  <c r="C49" i="65" s="1"/>
  <c r="C50" i="65" s="1"/>
  <c r="C51" i="65" s="1"/>
  <c r="C52" i="65" s="1"/>
  <c r="I51" i="65"/>
  <c r="I50" i="65" s="1"/>
  <c r="K50" i="65" s="1"/>
  <c r="E54" i="65"/>
  <c r="K12" i="59"/>
  <c r="I30" i="59"/>
  <c r="I33" i="59" s="1"/>
  <c r="Y22" i="59"/>
  <c r="I28" i="18"/>
  <c r="K28" i="18" s="1"/>
  <c r="M28" i="18" s="1"/>
  <c r="O28" i="18" s="1"/>
  <c r="Q28" i="18" s="1"/>
  <c r="S28" i="18" s="1"/>
  <c r="U28" i="18" s="1"/>
  <c r="G30" i="18"/>
  <c r="G33" i="18" s="1"/>
  <c r="I22" i="18"/>
  <c r="M66" i="13"/>
  <c r="G40" i="44"/>
  <c r="E12" i="44"/>
  <c r="E45" i="44" s="1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H35" i="47" l="1"/>
  <c r="F35" i="47"/>
  <c r="F37" i="47" s="1"/>
  <c r="R10" i="66"/>
  <c r="N49" i="66"/>
  <c r="P47" i="66"/>
  <c r="R26" i="66"/>
  <c r="P29" i="66"/>
  <c r="P15" i="66"/>
  <c r="R15" i="66" s="1"/>
  <c r="C13" i="44"/>
  <c r="K51" i="65"/>
  <c r="M52" i="65" s="1"/>
  <c r="I49" i="65"/>
  <c r="M12" i="59"/>
  <c r="K30" i="59"/>
  <c r="K33" i="59" s="1"/>
  <c r="W28" i="18"/>
  <c r="C28" i="59" s="1"/>
  <c r="I30" i="18"/>
  <c r="I33" i="18" s="1"/>
  <c r="K22" i="18"/>
  <c r="V29" i="47"/>
  <c r="T29" i="47"/>
  <c r="R29" i="47"/>
  <c r="P29" i="47"/>
  <c r="N29" i="47"/>
  <c r="L29" i="47"/>
  <c r="J29" i="47"/>
  <c r="H29" i="47"/>
  <c r="F29" i="47"/>
  <c r="D29" i="47"/>
  <c r="D53" i="47" s="1"/>
  <c r="C30" i="59" l="1"/>
  <c r="C33" i="59" s="1"/>
  <c r="Y28" i="59"/>
  <c r="J35" i="47"/>
  <c r="P49" i="66"/>
  <c r="R47" i="66"/>
  <c r="R19" i="66"/>
  <c r="T10" i="66"/>
  <c r="R29" i="66"/>
  <c r="T26" i="66"/>
  <c r="P19" i="66"/>
  <c r="F39" i="47"/>
  <c r="F53" i="47"/>
  <c r="K49" i="65"/>
  <c r="M50" i="65" s="1"/>
  <c r="I48" i="65"/>
  <c r="O12" i="59"/>
  <c r="M30" i="59"/>
  <c r="M33" i="59" s="1"/>
  <c r="M22" i="18"/>
  <c r="K30" i="18"/>
  <c r="K33" i="18" s="1"/>
  <c r="L35" i="47" l="1"/>
  <c r="T29" i="66"/>
  <c r="V26" i="66"/>
  <c r="V29" i="66" s="1"/>
  <c r="T47" i="66"/>
  <c r="R49" i="66"/>
  <c r="V10" i="66"/>
  <c r="T15" i="66"/>
  <c r="V15" i="66" s="1"/>
  <c r="I47" i="65"/>
  <c r="K48" i="65"/>
  <c r="Q12" i="59"/>
  <c r="O30" i="59"/>
  <c r="O33" i="59" s="1"/>
  <c r="O22" i="18"/>
  <c r="M30" i="18"/>
  <c r="M33" i="18" s="1"/>
  <c r="N35" i="47" l="1"/>
  <c r="T19" i="66"/>
  <c r="V47" i="66"/>
  <c r="V49" i="66" s="1"/>
  <c r="T49" i="66"/>
  <c r="V19" i="66"/>
  <c r="K47" i="65"/>
  <c r="M48" i="65" s="1"/>
  <c r="I46" i="65"/>
  <c r="S12" i="59"/>
  <c r="Q30" i="59"/>
  <c r="Q33" i="59" s="1"/>
  <c r="Q22" i="18"/>
  <c r="O30" i="18"/>
  <c r="O33" i="18" s="1"/>
  <c r="P35" i="47" l="1"/>
  <c r="I45" i="65"/>
  <c r="K46" i="65"/>
  <c r="S30" i="59"/>
  <c r="S33" i="59" s="1"/>
  <c r="U12" i="59"/>
  <c r="S22" i="18"/>
  <c r="Q30" i="18"/>
  <c r="Q33" i="18" s="1"/>
  <c r="G13" i="44"/>
  <c r="G12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1" i="44"/>
  <c r="G42" i="44"/>
  <c r="I42" i="44" s="1"/>
  <c r="R35" i="47" l="1"/>
  <c r="I41" i="44"/>
  <c r="K42" i="44"/>
  <c r="M43" i="44" s="1"/>
  <c r="K45" i="65"/>
  <c r="M46" i="65" s="1"/>
  <c r="I44" i="65"/>
  <c r="W12" i="59"/>
  <c r="W30" i="59" s="1"/>
  <c r="W33" i="59" s="1"/>
  <c r="U30" i="59"/>
  <c r="U33" i="59" s="1"/>
  <c r="Y12" i="59"/>
  <c r="Y30" i="59" s="1"/>
  <c r="Y33" i="59" s="1"/>
  <c r="Y35" i="59" s="1"/>
  <c r="U22" i="18"/>
  <c r="S30" i="18"/>
  <c r="S33" i="18" s="1"/>
  <c r="G52" i="60"/>
  <c r="E52" i="60"/>
  <c r="I52" i="60" s="1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4" i="60"/>
  <c r="G13" i="60"/>
  <c r="T35" i="47" l="1"/>
  <c r="K44" i="65"/>
  <c r="I43" i="65"/>
  <c r="U30" i="18"/>
  <c r="U33" i="18" s="1"/>
  <c r="W22" i="18"/>
  <c r="K52" i="60"/>
  <c r="E57" i="13" s="1"/>
  <c r="I57" i="13" s="1"/>
  <c r="V35" i="47" l="1"/>
  <c r="I42" i="65"/>
  <c r="K43" i="65"/>
  <c r="M44" i="65" s="1"/>
  <c r="C14" i="44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I9" i="10"/>
  <c r="D19" i="47"/>
  <c r="G51" i="60"/>
  <c r="I51" i="60" s="1"/>
  <c r="G50" i="60"/>
  <c r="G49" i="60"/>
  <c r="G47" i="60"/>
  <c r="G48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A45" i="59"/>
  <c r="A48" i="44" s="1"/>
  <c r="A45" i="7" s="1"/>
  <c r="A57" i="60" l="1"/>
  <c r="A70" i="13"/>
  <c r="A41" i="10" s="1"/>
  <c r="A57" i="47" s="1"/>
  <c r="K42" i="65"/>
  <c r="I41" i="65"/>
  <c r="I50" i="60"/>
  <c r="A4" i="48"/>
  <c r="F7" i="47"/>
  <c r="H7" i="47" s="1"/>
  <c r="J7" i="47" s="1"/>
  <c r="L7" i="47" s="1"/>
  <c r="N7" i="47" s="1"/>
  <c r="P7" i="47" s="1"/>
  <c r="R7" i="47" s="1"/>
  <c r="T7" i="47" s="1"/>
  <c r="V7" i="47" s="1"/>
  <c r="K41" i="65" l="1"/>
  <c r="M42" i="65" s="1"/>
  <c r="I40" i="65"/>
  <c r="A49" i="21"/>
  <c r="A65" i="22" s="1"/>
  <c r="A63" i="61" s="1"/>
  <c r="I39" i="65" l="1"/>
  <c r="K40" i="65"/>
  <c r="H49" i="47"/>
  <c r="L49" i="47"/>
  <c r="H19" i="47"/>
  <c r="J49" i="47"/>
  <c r="K39" i="65" l="1"/>
  <c r="M40" i="65" s="1"/>
  <c r="I38" i="65"/>
  <c r="P49" i="47"/>
  <c r="J19" i="47"/>
  <c r="K38" i="65" l="1"/>
  <c r="I37" i="65"/>
  <c r="L19" i="47"/>
  <c r="N49" i="47"/>
  <c r="K37" i="65" l="1"/>
  <c r="I36" i="65"/>
  <c r="M38" i="65"/>
  <c r="N19" i="47"/>
  <c r="K36" i="65" l="1"/>
  <c r="I35" i="65"/>
  <c r="P19" i="47"/>
  <c r="R49" i="47"/>
  <c r="I34" i="65" l="1"/>
  <c r="K35" i="65"/>
  <c r="M36" i="65"/>
  <c r="R19" i="47"/>
  <c r="T49" i="47"/>
  <c r="K34" i="65" l="1"/>
  <c r="I33" i="65"/>
  <c r="V19" i="47"/>
  <c r="T19" i="47"/>
  <c r="V49" i="47"/>
  <c r="K33" i="65" l="1"/>
  <c r="I32" i="65"/>
  <c r="M34" i="65"/>
  <c r="A1" i="61"/>
  <c r="A3" i="22"/>
  <c r="A3" i="21"/>
  <c r="A1" i="47"/>
  <c r="I15" i="10"/>
  <c r="I14" i="10"/>
  <c r="I13" i="10"/>
  <c r="I10" i="10"/>
  <c r="C21" i="7"/>
  <c r="A1" i="7"/>
  <c r="A1" i="44"/>
  <c r="A1" i="60"/>
  <c r="A1" i="13"/>
  <c r="A1" i="10"/>
  <c r="C13" i="60"/>
  <c r="C14" i="60" s="1"/>
  <c r="C15" i="60" s="1"/>
  <c r="C16" i="60" s="1"/>
  <c r="C17" i="60" s="1"/>
  <c r="W12" i="18"/>
  <c r="W30" i="18" s="1"/>
  <c r="W33" i="18" s="1"/>
  <c r="I31" i="65" l="1"/>
  <c r="K32" i="65"/>
  <c r="C23" i="7"/>
  <c r="C27" i="7" s="1"/>
  <c r="K51" i="60"/>
  <c r="E56" i="13" s="1"/>
  <c r="C18" i="60"/>
  <c r="C19" i="60" s="1"/>
  <c r="C20" i="60" s="1"/>
  <c r="C21" i="60" s="1"/>
  <c r="C22" i="60" s="1"/>
  <c r="C23" i="60" s="1"/>
  <c r="C24" i="60" s="1"/>
  <c r="C25" i="60" s="1"/>
  <c r="C26" i="60" s="1"/>
  <c r="C27" i="60" s="1"/>
  <c r="C28" i="60" s="1"/>
  <c r="C29" i="60" s="1"/>
  <c r="C30" i="60" s="1"/>
  <c r="C31" i="60" s="1"/>
  <c r="C32" i="60" s="1"/>
  <c r="C33" i="60" s="1"/>
  <c r="C34" i="60" s="1"/>
  <c r="C35" i="60" s="1"/>
  <c r="C36" i="60" s="1"/>
  <c r="C37" i="60" s="1"/>
  <c r="C38" i="60" s="1"/>
  <c r="C39" i="60" s="1"/>
  <c r="C40" i="60" s="1"/>
  <c r="C41" i="60" s="1"/>
  <c r="C42" i="60" s="1"/>
  <c r="C43" i="60" s="1"/>
  <c r="C44" i="60" s="1"/>
  <c r="C45" i="60" s="1"/>
  <c r="C46" i="60" s="1"/>
  <c r="C47" i="60" s="1"/>
  <c r="C48" i="60" s="1"/>
  <c r="C49" i="60" s="1"/>
  <c r="C50" i="60" s="1"/>
  <c r="C51" i="60" s="1"/>
  <c r="C52" i="60" s="1"/>
  <c r="G55" i="22"/>
  <c r="E55" i="22"/>
  <c r="C55" i="22"/>
  <c r="G48" i="22"/>
  <c r="E48" i="22"/>
  <c r="C48" i="22"/>
  <c r="G37" i="22"/>
  <c r="E37" i="22"/>
  <c r="C37" i="22"/>
  <c r="G21" i="22"/>
  <c r="E21" i="22"/>
  <c r="C21" i="22"/>
  <c r="F32" i="21"/>
  <c r="D32" i="21"/>
  <c r="B32" i="21"/>
  <c r="F21" i="21"/>
  <c r="D21" i="21"/>
  <c r="B21" i="21"/>
  <c r="E22" i="10"/>
  <c r="I56" i="13" l="1"/>
  <c r="K57" i="13" s="1"/>
  <c r="K31" i="65"/>
  <c r="M32" i="65" s="1"/>
  <c r="I30" i="65"/>
  <c r="M52" i="60"/>
  <c r="C31" i="7"/>
  <c r="I29" i="65" l="1"/>
  <c r="K30" i="65"/>
  <c r="I49" i="60"/>
  <c r="K50" i="60"/>
  <c r="E55" i="13" s="1"/>
  <c r="I55" i="13" s="1"/>
  <c r="A3" i="48"/>
  <c r="A1" i="48"/>
  <c r="K29" i="65" l="1"/>
  <c r="M30" i="65" s="1"/>
  <c r="I28" i="65"/>
  <c r="K49" i="60"/>
  <c r="I48" i="60"/>
  <c r="M50" i="60" l="1"/>
  <c r="E54" i="13"/>
  <c r="I54" i="13" s="1"/>
  <c r="K55" i="13" s="1"/>
  <c r="K28" i="65"/>
  <c r="I27" i="65"/>
  <c r="K48" i="60"/>
  <c r="E53" i="13" s="1"/>
  <c r="I53" i="13" s="1"/>
  <c r="I47" i="60"/>
  <c r="I26" i="65" l="1"/>
  <c r="K27" i="65"/>
  <c r="M28" i="65"/>
  <c r="K47" i="60"/>
  <c r="E52" i="13" s="1"/>
  <c r="I52" i="13" s="1"/>
  <c r="K53" i="13" s="1"/>
  <c r="I46" i="60"/>
  <c r="K26" i="65" l="1"/>
  <c r="I25" i="65"/>
  <c r="M48" i="60"/>
  <c r="K46" i="60"/>
  <c r="E51" i="13" s="1"/>
  <c r="I51" i="13" s="1"/>
  <c r="I45" i="60"/>
  <c r="K25" i="65" l="1"/>
  <c r="I24" i="65"/>
  <c r="M26" i="65"/>
  <c r="K45" i="60"/>
  <c r="I44" i="60"/>
  <c r="M46" i="60" l="1"/>
  <c r="E50" i="13"/>
  <c r="I50" i="13" s="1"/>
  <c r="K51" i="13" s="1"/>
  <c r="I23" i="65"/>
  <c r="K24" i="65"/>
  <c r="K44" i="60"/>
  <c r="E49" i="13" s="1"/>
  <c r="I49" i="13" s="1"/>
  <c r="I43" i="60"/>
  <c r="K23" i="65" l="1"/>
  <c r="M24" i="65" s="1"/>
  <c r="I22" i="65"/>
  <c r="K43" i="60"/>
  <c r="I42" i="60"/>
  <c r="M44" i="60" l="1"/>
  <c r="E48" i="13"/>
  <c r="I48" i="13" s="1"/>
  <c r="K49" i="13" s="1"/>
  <c r="K22" i="65"/>
  <c r="I21" i="65"/>
  <c r="K42" i="60"/>
  <c r="E47" i="13" s="1"/>
  <c r="I47" i="13" s="1"/>
  <c r="I41" i="60"/>
  <c r="K21" i="65" l="1"/>
  <c r="M22" i="65" s="1"/>
  <c r="I20" i="65"/>
  <c r="I40" i="60"/>
  <c r="K41" i="60"/>
  <c r="M42" i="60" l="1"/>
  <c r="E46" i="13"/>
  <c r="K20" i="65"/>
  <c r="I19" i="65"/>
  <c r="K40" i="60"/>
  <c r="E45" i="13" s="1"/>
  <c r="I39" i="60"/>
  <c r="I18" i="65" l="1"/>
  <c r="K19" i="65"/>
  <c r="M20" i="65" s="1"/>
  <c r="K39" i="60"/>
  <c r="E44" i="13" s="1"/>
  <c r="I38" i="60"/>
  <c r="K18" i="65" l="1"/>
  <c r="I17" i="65"/>
  <c r="M40" i="60"/>
  <c r="I37" i="60"/>
  <c r="K38" i="60"/>
  <c r="E43" i="13" s="1"/>
  <c r="K17" i="65" l="1"/>
  <c r="M18" i="65" s="1"/>
  <c r="I16" i="65"/>
  <c r="I36" i="60"/>
  <c r="K37" i="60"/>
  <c r="M38" i="60" l="1"/>
  <c r="E42" i="13"/>
  <c r="I15" i="65"/>
  <c r="K16" i="65"/>
  <c r="I35" i="60"/>
  <c r="K36" i="60"/>
  <c r="E41" i="13" s="1"/>
  <c r="K15" i="65" l="1"/>
  <c r="M16" i="65" s="1"/>
  <c r="I14" i="65"/>
  <c r="K35" i="60"/>
  <c r="I34" i="60"/>
  <c r="M36" i="60" l="1"/>
  <c r="E40" i="13"/>
  <c r="I13" i="65"/>
  <c r="K14" i="65"/>
  <c r="K34" i="60"/>
  <c r="E39" i="13" s="1"/>
  <c r="I33" i="60"/>
  <c r="I12" i="65" l="1"/>
  <c r="K13" i="65"/>
  <c r="M14" i="65" s="1"/>
  <c r="M59" i="65" s="1"/>
  <c r="K33" i="60"/>
  <c r="I32" i="60"/>
  <c r="M34" i="60" l="1"/>
  <c r="E38" i="13"/>
  <c r="I54" i="65"/>
  <c r="K12" i="65"/>
  <c r="K32" i="60"/>
  <c r="E37" i="13" s="1"/>
  <c r="I31" i="60"/>
  <c r="M12" i="65" l="1"/>
  <c r="M54" i="65" s="1"/>
  <c r="K54" i="65"/>
  <c r="K31" i="60"/>
  <c r="E36" i="13" s="1"/>
  <c r="I36" i="13" s="1"/>
  <c r="I30" i="60"/>
  <c r="M32" i="60" l="1"/>
  <c r="I29" i="60"/>
  <c r="K30" i="60"/>
  <c r="E35" i="13" s="1"/>
  <c r="I35" i="13" s="1"/>
  <c r="I28" i="60" l="1"/>
  <c r="K29" i="60"/>
  <c r="M30" i="60" l="1"/>
  <c r="E34" i="13"/>
  <c r="I34" i="13" s="1"/>
  <c r="K35" i="13" s="1"/>
  <c r="J32" i="66" s="1"/>
  <c r="K28" i="60"/>
  <c r="E33" i="13" s="1"/>
  <c r="I33" i="13" s="1"/>
  <c r="I27" i="60"/>
  <c r="J37" i="66" l="1"/>
  <c r="K27" i="60"/>
  <c r="E32" i="13" s="1"/>
  <c r="I32" i="13" s="1"/>
  <c r="K33" i="13" s="1"/>
  <c r="H32" i="66" s="1"/>
  <c r="I26" i="60"/>
  <c r="I40" i="44"/>
  <c r="H37" i="66" l="1"/>
  <c r="M28" i="60"/>
  <c r="I39" i="44"/>
  <c r="I38" i="44" s="1"/>
  <c r="I37" i="44" s="1"/>
  <c r="I36" i="44" s="1"/>
  <c r="I35" i="44" s="1"/>
  <c r="I34" i="44" s="1"/>
  <c r="I33" i="44" s="1"/>
  <c r="I32" i="44" s="1"/>
  <c r="I31" i="44" s="1"/>
  <c r="I30" i="44" s="1"/>
  <c r="I29" i="44" s="1"/>
  <c r="I28" i="44" s="1"/>
  <c r="I27" i="44" s="1"/>
  <c r="I26" i="44" s="1"/>
  <c r="I25" i="44" s="1"/>
  <c r="I24" i="44" s="1"/>
  <c r="I23" i="44" s="1"/>
  <c r="I22" i="44" s="1"/>
  <c r="I21" i="44" s="1"/>
  <c r="I20" i="44" s="1"/>
  <c r="I19" i="44" s="1"/>
  <c r="I18" i="44" s="1"/>
  <c r="I17" i="44" s="1"/>
  <c r="I16" i="44" s="1"/>
  <c r="I15" i="44" s="1"/>
  <c r="I14" i="44" s="1"/>
  <c r="I13" i="44" s="1"/>
  <c r="I12" i="44" s="1"/>
  <c r="I45" i="44" s="1"/>
  <c r="K40" i="44"/>
  <c r="K26" i="60"/>
  <c r="E31" i="13" s="1"/>
  <c r="I25" i="60"/>
  <c r="C38" i="13"/>
  <c r="I44" i="13" l="1"/>
  <c r="C36" i="13"/>
  <c r="I46" i="13"/>
  <c r="K47" i="13" s="1"/>
  <c r="V32" i="66" s="1"/>
  <c r="I24" i="60"/>
  <c r="K25" i="60"/>
  <c r="E30" i="13" s="1"/>
  <c r="K41" i="44"/>
  <c r="M41" i="44" s="1"/>
  <c r="V37" i="66" l="1"/>
  <c r="C37" i="13"/>
  <c r="M26" i="60"/>
  <c r="I23" i="60"/>
  <c r="I22" i="60" s="1"/>
  <c r="K24" i="60"/>
  <c r="E29" i="13" s="1"/>
  <c r="K39" i="44"/>
  <c r="C35" i="13" l="1"/>
  <c r="I45" i="13"/>
  <c r="K45" i="13" s="1"/>
  <c r="T32" i="66" s="1"/>
  <c r="K23" i="60"/>
  <c r="K38" i="44"/>
  <c r="M39" i="44" s="1"/>
  <c r="M24" i="60" l="1"/>
  <c r="E28" i="13"/>
  <c r="T37" i="66"/>
  <c r="I42" i="13"/>
  <c r="C34" i="13"/>
  <c r="I43" i="13"/>
  <c r="K43" i="13" s="1"/>
  <c r="R32" i="66" s="1"/>
  <c r="I21" i="60"/>
  <c r="K22" i="60"/>
  <c r="E27" i="13" s="1"/>
  <c r="K37" i="44"/>
  <c r="R37" i="66" l="1"/>
  <c r="C33" i="13"/>
  <c r="I41" i="13"/>
  <c r="K21" i="60"/>
  <c r="E26" i="13" s="1"/>
  <c r="I20" i="60"/>
  <c r="I19" i="60" s="1"/>
  <c r="K36" i="44"/>
  <c r="M37" i="44" s="1"/>
  <c r="I40" i="13" l="1"/>
  <c r="K41" i="13" s="1"/>
  <c r="P32" i="66" s="1"/>
  <c r="C32" i="13"/>
  <c r="M22" i="60"/>
  <c r="K20" i="60"/>
  <c r="E25" i="13" s="1"/>
  <c r="K35" i="44"/>
  <c r="P37" i="66" l="1"/>
  <c r="C31" i="13"/>
  <c r="M35" i="44"/>
  <c r="I39" i="13"/>
  <c r="K19" i="60"/>
  <c r="E24" i="13" s="1"/>
  <c r="I18" i="60"/>
  <c r="K34" i="44"/>
  <c r="K39" i="13" l="1"/>
  <c r="N32" i="66" s="1"/>
  <c r="I38" i="13"/>
  <c r="C30" i="13"/>
  <c r="M20" i="60"/>
  <c r="K18" i="60"/>
  <c r="E23" i="13" s="1"/>
  <c r="I17" i="60"/>
  <c r="K33" i="44"/>
  <c r="N37" i="66" l="1"/>
  <c r="C29" i="13"/>
  <c r="M33" i="44"/>
  <c r="I37" i="13"/>
  <c r="K37" i="13" s="1"/>
  <c r="L32" i="66" s="1"/>
  <c r="K17" i="60"/>
  <c r="I16" i="60"/>
  <c r="K32" i="44"/>
  <c r="M18" i="60" l="1"/>
  <c r="E22" i="13"/>
  <c r="L37" i="66"/>
  <c r="C28" i="13"/>
  <c r="I15" i="60"/>
  <c r="K16" i="60"/>
  <c r="E21" i="13" s="1"/>
  <c r="K31" i="44"/>
  <c r="C27" i="13" l="1"/>
  <c r="I14" i="60"/>
  <c r="I13" i="60" s="1"/>
  <c r="I12" i="60" s="1"/>
  <c r="K12" i="60" s="1"/>
  <c r="E17" i="13" s="1"/>
  <c r="K15" i="60"/>
  <c r="K30" i="44"/>
  <c r="M31" i="44" s="1"/>
  <c r="M16" i="60" l="1"/>
  <c r="E20" i="13"/>
  <c r="C26" i="13"/>
  <c r="M12" i="60"/>
  <c r="K14" i="60"/>
  <c r="E19" i="13" s="1"/>
  <c r="K29" i="44"/>
  <c r="C25" i="13" l="1"/>
  <c r="K13" i="60"/>
  <c r="K28" i="44"/>
  <c r="M29" i="44" s="1"/>
  <c r="M14" i="60" l="1"/>
  <c r="E18" i="13"/>
  <c r="C24" i="13"/>
  <c r="M54" i="60"/>
  <c r="K54" i="60"/>
  <c r="K27" i="44"/>
  <c r="M59" i="60" l="1"/>
  <c r="P11" i="60"/>
  <c r="C23" i="13"/>
  <c r="E67" i="13"/>
  <c r="I31" i="13"/>
  <c r="K26" i="44"/>
  <c r="M27" i="44" s="1"/>
  <c r="L33" i="47" l="1"/>
  <c r="V33" i="47" s="1"/>
  <c r="N33" i="47"/>
  <c r="P33" i="47" s="1"/>
  <c r="R33" i="47" s="1"/>
  <c r="T33" i="47" s="1"/>
  <c r="I30" i="13"/>
  <c r="K31" i="13" s="1"/>
  <c r="F32" i="66" s="1"/>
  <c r="C22" i="13"/>
  <c r="K25" i="44"/>
  <c r="F37" i="66" l="1"/>
  <c r="C21" i="13"/>
  <c r="M25" i="44"/>
  <c r="I29" i="13"/>
  <c r="K24" i="44"/>
  <c r="I28" i="13" l="1"/>
  <c r="K29" i="13" s="1"/>
  <c r="D32" i="66" s="1"/>
  <c r="C20" i="13"/>
  <c r="K23" i="44"/>
  <c r="D37" i="66" l="1"/>
  <c r="C19" i="13"/>
  <c r="M23" i="44"/>
  <c r="I27" i="13"/>
  <c r="K22" i="44"/>
  <c r="C18" i="13" s="1"/>
  <c r="I26" i="13" l="1"/>
  <c r="K27" i="13" s="1"/>
  <c r="V32" i="47" s="1"/>
  <c r="V37" i="47" s="1"/>
  <c r="K21" i="44"/>
  <c r="C17" i="13" l="1"/>
  <c r="M21" i="44"/>
  <c r="I25" i="13"/>
  <c r="K20" i="44"/>
  <c r="I24" i="13" l="1"/>
  <c r="K25" i="13" s="1"/>
  <c r="T32" i="47" s="1"/>
  <c r="T37" i="47" s="1"/>
  <c r="C16" i="13"/>
  <c r="K19" i="44"/>
  <c r="C15" i="13" l="1"/>
  <c r="I23" i="13"/>
  <c r="K18" i="44"/>
  <c r="M19" i="44" s="1"/>
  <c r="I22" i="13" l="1"/>
  <c r="K23" i="13" s="1"/>
  <c r="R32" i="47" s="1"/>
  <c r="R37" i="47" s="1"/>
  <c r="C14" i="13"/>
  <c r="K17" i="44"/>
  <c r="C13" i="13" l="1"/>
  <c r="M17" i="44"/>
  <c r="I21" i="13"/>
  <c r="K16" i="44"/>
  <c r="I20" i="13" l="1"/>
  <c r="K21" i="13" s="1"/>
  <c r="P32" i="47" s="1"/>
  <c r="P37" i="47" s="1"/>
  <c r="C12" i="13"/>
  <c r="K15" i="44"/>
  <c r="C11" i="13" l="1"/>
  <c r="M15" i="44"/>
  <c r="I19" i="13"/>
  <c r="K14" i="44"/>
  <c r="I18" i="13" l="1"/>
  <c r="K19" i="13" s="1"/>
  <c r="N32" i="47" s="1"/>
  <c r="C10" i="13"/>
  <c r="K13" i="44"/>
  <c r="C9" i="13" l="1"/>
  <c r="M13" i="44"/>
  <c r="I17" i="13"/>
  <c r="K12" i="44"/>
  <c r="K17" i="13" l="1"/>
  <c r="I67" i="13"/>
  <c r="I16" i="13"/>
  <c r="C8" i="13"/>
  <c r="L32" i="47" l="1"/>
  <c r="K67" i="13"/>
  <c r="K45" i="44"/>
  <c r="I15" i="13"/>
  <c r="I14" i="13"/>
  <c r="M56" i="44" l="1"/>
  <c r="M45" i="44"/>
  <c r="I13" i="13"/>
  <c r="I12" i="13"/>
  <c r="I11" i="13" l="1"/>
  <c r="I10" i="13"/>
  <c r="I9" i="13" l="1"/>
  <c r="I8" i="13"/>
  <c r="C67" i="13" l="1"/>
  <c r="M68" i="13" l="1"/>
  <c r="N68" i="13" s="1"/>
  <c r="M70" i="13"/>
  <c r="E21" i="7"/>
  <c r="C39" i="22" l="1"/>
  <c r="E39" i="22"/>
  <c r="E57" i="22" l="1"/>
  <c r="C57" i="22"/>
  <c r="C60" i="22" l="1"/>
  <c r="E58" i="22" s="1"/>
  <c r="E60" i="22" s="1"/>
  <c r="G58" i="22" s="1"/>
  <c r="F34" i="21" l="1"/>
  <c r="I18" i="10" l="1"/>
  <c r="E8" i="18" l="1"/>
  <c r="G8" i="18" s="1"/>
  <c r="I8" i="18" s="1"/>
  <c r="K8" i="18" s="1"/>
  <c r="M8" i="18" s="1"/>
  <c r="O8" i="18" s="1"/>
  <c r="Q8" i="18" s="1"/>
  <c r="S8" i="18" s="1"/>
  <c r="U8" i="18" s="1"/>
  <c r="E8" i="59" s="1"/>
  <c r="G8" i="59" s="1"/>
  <c r="I8" i="59" s="1"/>
  <c r="K8" i="59" s="1"/>
  <c r="M8" i="59" s="1"/>
  <c r="O8" i="59" s="1"/>
  <c r="Q8" i="59" s="1"/>
  <c r="S8" i="59" s="1"/>
  <c r="U8" i="59" s="1"/>
  <c r="W8" i="59" s="1"/>
  <c r="E23" i="7" l="1"/>
  <c r="E27" i="7" l="1"/>
  <c r="B34" i="21"/>
  <c r="E31" i="7" l="1"/>
  <c r="I17" i="10"/>
  <c r="I20" i="10"/>
  <c r="D34" i="21"/>
  <c r="I19" i="10"/>
  <c r="G39" i="22"/>
  <c r="G57" i="22" l="1"/>
  <c r="I16" i="10"/>
  <c r="I22" i="10" s="1"/>
  <c r="D21" i="47" l="1"/>
  <c r="H21" i="47" s="1"/>
  <c r="G60" i="22"/>
  <c r="C22" i="10"/>
  <c r="K22" i="10" s="1"/>
  <c r="J21" i="47" l="1"/>
  <c r="H23" i="47"/>
  <c r="D51" i="47"/>
  <c r="L21" i="47" l="1"/>
  <c r="J23" i="47"/>
  <c r="J51" i="47"/>
  <c r="J53" i="47"/>
  <c r="H51" i="47"/>
  <c r="H53" i="47"/>
  <c r="N21" i="47" l="1"/>
  <c r="L23" i="47"/>
  <c r="L51" i="47"/>
  <c r="L53" i="47"/>
  <c r="P21" i="47" l="1"/>
  <c r="N23" i="47"/>
  <c r="N51" i="47"/>
  <c r="N53" i="47"/>
  <c r="R21" i="47" l="1"/>
  <c r="P23" i="47"/>
  <c r="P51" i="47"/>
  <c r="P53" i="47"/>
  <c r="T21" i="47" l="1"/>
  <c r="R23" i="47"/>
  <c r="R51" i="47" s="1"/>
  <c r="R53" i="47" l="1"/>
  <c r="V21" i="47"/>
  <c r="D21" i="66" s="1"/>
  <c r="T23" i="47"/>
  <c r="T53" i="47" s="1"/>
  <c r="T51" i="47"/>
  <c r="V23" i="47"/>
  <c r="T39" i="47" l="1"/>
  <c r="F21" i="66"/>
  <c r="D23" i="66"/>
  <c r="V51" i="47"/>
  <c r="V53" i="47"/>
  <c r="R39" i="47"/>
  <c r="V39" i="47"/>
  <c r="D51" i="66" l="1"/>
  <c r="D53" i="66"/>
  <c r="D39" i="66"/>
  <c r="H21" i="66"/>
  <c r="F23" i="66"/>
  <c r="P39" i="47"/>
  <c r="J21" i="66" l="1"/>
  <c r="H23" i="66"/>
  <c r="F53" i="66"/>
  <c r="F51" i="66"/>
  <c r="F39" i="66"/>
  <c r="N37" i="47"/>
  <c r="N39" i="47" s="1"/>
  <c r="H53" i="66" l="1"/>
  <c r="H51" i="66"/>
  <c r="H39" i="66"/>
  <c r="L21" i="66"/>
  <c r="J23" i="66"/>
  <c r="L37" i="47"/>
  <c r="L39" i="47" s="1"/>
  <c r="N21" i="66" l="1"/>
  <c r="L23" i="66"/>
  <c r="J51" i="66"/>
  <c r="J53" i="66"/>
  <c r="J39" i="66"/>
  <c r="J37" i="47"/>
  <c r="J39" i="47" s="1"/>
  <c r="L53" i="66" l="1"/>
  <c r="L51" i="66"/>
  <c r="L39" i="66"/>
  <c r="P21" i="66"/>
  <c r="N23" i="66"/>
  <c r="H37" i="47"/>
  <c r="H39" i="47" s="1"/>
  <c r="R21" i="66" l="1"/>
  <c r="P23" i="66"/>
  <c r="N53" i="66"/>
  <c r="N51" i="66"/>
  <c r="N39" i="66"/>
  <c r="I54" i="60"/>
  <c r="P53" i="66" l="1"/>
  <c r="P51" i="66"/>
  <c r="P39" i="66"/>
  <c r="T21" i="66"/>
  <c r="R23" i="66"/>
  <c r="D37" i="47"/>
  <c r="D39" i="47" s="1"/>
  <c r="D42" i="47" s="1"/>
  <c r="V21" i="66" l="1"/>
  <c r="V23" i="66" s="1"/>
  <c r="T23" i="66"/>
  <c r="R51" i="66"/>
  <c r="R53" i="66"/>
  <c r="R39" i="66"/>
  <c r="F40" i="47"/>
  <c r="F42" i="47" s="1"/>
  <c r="H40" i="47" s="1"/>
  <c r="H42" i="47" s="1"/>
  <c r="J40" i="47" s="1"/>
  <c r="J42" i="47" s="1"/>
  <c r="T51" i="66" l="1"/>
  <c r="T53" i="66"/>
  <c r="T39" i="66"/>
  <c r="V51" i="66"/>
  <c r="V53" i="66"/>
  <c r="V39" i="66"/>
  <c r="L40" i="47"/>
  <c r="L42" i="47" s="1"/>
  <c r="N40" i="47" l="1"/>
  <c r="N42" i="47" s="1"/>
  <c r="P40" i="47" l="1"/>
  <c r="P42" i="47" s="1"/>
  <c r="R40" i="47" l="1"/>
  <c r="R42" i="47" s="1"/>
  <c r="T40" i="47" l="1"/>
  <c r="T42" i="47" s="1"/>
  <c r="V40" i="47" l="1"/>
  <c r="V42" i="47" s="1"/>
  <c r="D40" i="66" s="1"/>
  <c r="D42" i="66" s="1"/>
  <c r="F40" i="66" s="1"/>
  <c r="F42" i="66" s="1"/>
  <c r="H40" i="66" s="1"/>
  <c r="H42" i="66" s="1"/>
  <c r="J40" i="66" s="1"/>
  <c r="J42" i="66" s="1"/>
  <c r="L40" i="66" s="1"/>
  <c r="L42" i="66" s="1"/>
  <c r="N40" i="66" s="1"/>
  <c r="N42" i="66" s="1"/>
  <c r="P40" i="66" s="1"/>
  <c r="P42" i="66" s="1"/>
  <c r="R40" i="66" s="1"/>
  <c r="R42" i="66" s="1"/>
  <c r="T40" i="66" s="1"/>
  <c r="T42" i="66" s="1"/>
  <c r="V40" i="66" s="1"/>
  <c r="V42" i="66" s="1"/>
</calcChain>
</file>

<file path=xl/sharedStrings.xml><?xml version="1.0" encoding="utf-8"?>
<sst xmlns="http://schemas.openxmlformats.org/spreadsheetml/2006/main" count="325" uniqueCount="211">
  <si>
    <t>Date</t>
  </si>
  <si>
    <t>Totals</t>
  </si>
  <si>
    <t>Salaries and wages</t>
  </si>
  <si>
    <t>Interest</t>
  </si>
  <si>
    <t>Payment</t>
  </si>
  <si>
    <t>Principal</t>
  </si>
  <si>
    <t>Debt Service</t>
  </si>
  <si>
    <t>Bond Year</t>
  </si>
  <si>
    <t>Total</t>
  </si>
  <si>
    <t>(%)</t>
  </si>
  <si>
    <t>Balance</t>
  </si>
  <si>
    <t>Rate</t>
  </si>
  <si>
    <t>Adjustment</t>
  </si>
  <si>
    <t>Bond</t>
  </si>
  <si>
    <t>(Explanation of References)</t>
  </si>
  <si>
    <t>Cash on hand</t>
  </si>
  <si>
    <t>Non-Construction Costs:</t>
  </si>
  <si>
    <t>Estimated Project Year</t>
  </si>
  <si>
    <t>UTILITY CAPITAL IMPROVEMENT PLAN</t>
  </si>
  <si>
    <t>COMPARATIVE SCHEDULE OF SELECTED FINANCIAL</t>
  </si>
  <si>
    <t>INFORMATION ARISING FROM CASH TRANSACTIONS</t>
  </si>
  <si>
    <t>COMPARATIVE SCHEDULE OF CASH RECEIPTS AND DISBURSEMENTS</t>
  </si>
  <si>
    <t>Operating Receipts:</t>
  </si>
  <si>
    <t>Operating Disbursements:</t>
  </si>
  <si>
    <t>Materials and supplies</t>
  </si>
  <si>
    <t>Contractual services</t>
  </si>
  <si>
    <t>Insurance</t>
  </si>
  <si>
    <t>Non-Operating Receipts:</t>
  </si>
  <si>
    <t>Ref.</t>
  </si>
  <si>
    <t>Operating</t>
  </si>
  <si>
    <t>Bond and interest</t>
  </si>
  <si>
    <t>Debt service reserve</t>
  </si>
  <si>
    <t>Construction</t>
  </si>
  <si>
    <t>(4)</t>
  </si>
  <si>
    <t>(5)</t>
  </si>
  <si>
    <t>Net Operating Receipts</t>
  </si>
  <si>
    <t>Cash and Cash Equivalents:</t>
  </si>
  <si>
    <t>Total Cash and Cash Equivalents</t>
  </si>
  <si>
    <t>Investments:</t>
  </si>
  <si>
    <t>Total Investments</t>
  </si>
  <si>
    <t>Total Cash and Investments</t>
  </si>
  <si>
    <t>Increase (decrease) in cash and cash equivalents</t>
  </si>
  <si>
    <t>Beginning cash and cash equivalents</t>
  </si>
  <si>
    <t>Sinking fund:</t>
  </si>
  <si>
    <t>Non-Operating Disbursements:</t>
  </si>
  <si>
    <t>Bonded Indebtedness:</t>
  </si>
  <si>
    <t>Totals:</t>
  </si>
  <si>
    <t>Test Year</t>
  </si>
  <si>
    <t>Year Total</t>
  </si>
  <si>
    <t>Capital Improvement Categories:</t>
  </si>
  <si>
    <t>Total Non-Operating Receipts:</t>
  </si>
  <si>
    <t>Total Non-Operating Disbursements:</t>
  </si>
  <si>
    <t>Total Operating Disbursements</t>
  </si>
  <si>
    <t>Ending</t>
  </si>
  <si>
    <t>SCHEDULE OF PROPOSED COMBINED BOND AMORTIZATION</t>
  </si>
  <si>
    <t>(-------------------------In Dollars-------------------------)</t>
  </si>
  <si>
    <t>Meter deposits (net)</t>
  </si>
  <si>
    <t>Utilities</t>
  </si>
  <si>
    <t>Tap fees</t>
  </si>
  <si>
    <t>Miscellaneous receipts</t>
  </si>
  <si>
    <t>Chemicals</t>
  </si>
  <si>
    <t>Transportation</t>
  </si>
  <si>
    <t>Capital improvements</t>
  </si>
  <si>
    <t>Miscellaneous</t>
  </si>
  <si>
    <t>(6)</t>
  </si>
  <si>
    <t>Sub-totals</t>
  </si>
  <si>
    <t>Total Construction Costs</t>
  </si>
  <si>
    <t>Total Non-Construction Costs</t>
  </si>
  <si>
    <t>Legal, bond counsel, financial advisory and contingencies</t>
  </si>
  <si>
    <t>Total Project Costs</t>
  </si>
  <si>
    <t>Total Project Funding</t>
  </si>
  <si>
    <t>(------In $1,000's------)</t>
  </si>
  <si>
    <t xml:space="preserve">Interest </t>
  </si>
  <si>
    <t xml:space="preserve">Total </t>
  </si>
  <si>
    <t>Employee pensions and benefits</t>
  </si>
  <si>
    <t>Repairs and maintenance</t>
  </si>
  <si>
    <t>Debt service</t>
  </si>
  <si>
    <t>(7)</t>
  </si>
  <si>
    <t>(3)</t>
  </si>
  <si>
    <t>Total Operating Receipts</t>
  </si>
  <si>
    <t>(1)</t>
  </si>
  <si>
    <t>(2)</t>
  </si>
  <si>
    <t>(8)</t>
  </si>
  <si>
    <t>Grant funding</t>
  </si>
  <si>
    <t>Operating fund</t>
  </si>
  <si>
    <t>Meter deposit fund</t>
  </si>
  <si>
    <t>Construction fund</t>
  </si>
  <si>
    <t>Ending Cash and Cash Equivalents</t>
  </si>
  <si>
    <t>Debt Service Coverage</t>
  </si>
  <si>
    <t>Payment in lieu of taxes</t>
  </si>
  <si>
    <t>SCHEDULE OF ESTIMATED PROJECT COSTS AND FUNDING</t>
  </si>
  <si>
    <t>ESTIMATED PROJECT COSTS</t>
  </si>
  <si>
    <t>ESTIMATED PROJECT FUNDING</t>
  </si>
  <si>
    <t>Years</t>
  </si>
  <si>
    <t>Estimated</t>
  </si>
  <si>
    <t>References</t>
  </si>
  <si>
    <t>ESTIMATED ANNUAL CASH OPERATING EXPENSES</t>
  </si>
  <si>
    <t>Annual Operating Expenses:</t>
  </si>
  <si>
    <t>Metered sales/collections</t>
  </si>
  <si>
    <t>_______</t>
  </si>
  <si>
    <t>SCHEDULE OF ESTIMATED REVENUES, EXPENSES,</t>
  </si>
  <si>
    <t>ENDING CASH AND RESULTING AVERAGE MONTHLY BILL</t>
  </si>
  <si>
    <t>Operating Revenues:</t>
  </si>
  <si>
    <t>Total Operating Revenues</t>
  </si>
  <si>
    <t>Net Operating Revenues</t>
  </si>
  <si>
    <t>Non-Operating Revenues</t>
  </si>
  <si>
    <t>Interest income (4)</t>
  </si>
  <si>
    <t>Total Non-Operating Revenues</t>
  </si>
  <si>
    <t>Non-Operating Expenditures:</t>
  </si>
  <si>
    <t>Debt service reserve funding (7)</t>
  </si>
  <si>
    <t>Total Non-Operating Expenditures</t>
  </si>
  <si>
    <t>Increase (Decrease) in Cash and Cash Equivalents</t>
  </si>
  <si>
    <t>Beginning Cash and Cash Equivalents</t>
  </si>
  <si>
    <t>Dollar Increase</t>
  </si>
  <si>
    <t>Estimated increase in rates</t>
  </si>
  <si>
    <t>Estimated Year</t>
  </si>
  <si>
    <t>Metered sales/Collections (1)</t>
  </si>
  <si>
    <t>ANY TOWN WATER UTILITY/SEWAGE WORKS</t>
  </si>
  <si>
    <t>Assumed</t>
  </si>
  <si>
    <t>Proposed Bonds 1</t>
  </si>
  <si>
    <t>Proposed Bonds 2</t>
  </si>
  <si>
    <t>Outstanding Bonds</t>
  </si>
  <si>
    <t>ANYTOWN WATER UTILITY/SEWAGE WORKS</t>
  </si>
  <si>
    <t xml:space="preserve">   Totals</t>
  </si>
  <si>
    <t xml:space="preserve">   Net Rate Fund Capital</t>
  </si>
  <si>
    <t xml:space="preserve">   Less assumed bond funding</t>
  </si>
  <si>
    <t>Other</t>
  </si>
  <si>
    <t>CSO outfalls and diversion 
structures</t>
  </si>
  <si>
    <t xml:space="preserve">Wells </t>
  </si>
  <si>
    <t>Meters</t>
  </si>
  <si>
    <t xml:space="preserve">Water or wastewater storage 
facilities </t>
  </si>
  <si>
    <t>Water or wastewater 
treatment plants</t>
  </si>
  <si>
    <t xml:space="preserve">Booster/lift stations </t>
  </si>
  <si>
    <t xml:space="preserve">Lead lines as identified </t>
  </si>
  <si>
    <t>Valves, hydrants, fittings, 
backflow preventors, 
sample stations, chemical feed points, manholes, inlets</t>
  </si>
  <si>
    <t xml:space="preserve">Gravity and pressure lines </t>
  </si>
  <si>
    <t>Note:  These are sample of standard capital improvements.  Add other improvements as necessary.</t>
  </si>
  <si>
    <t>OF OUTSTANDING [SEWAGE WORKS/WATERWORKS] REVENUE BONDS OF 2012</t>
  </si>
  <si>
    <t>Engineering</t>
  </si>
  <si>
    <t>Project __</t>
  </si>
  <si>
    <t>Construction Costs and Contingencies:</t>
  </si>
  <si>
    <t>OF PROPOSED [SEWAGE WORKS/WATERWORKS] REVENUE BONDS OF 2022</t>
  </si>
  <si>
    <t>Assumes bonds are issued July 1, 2022</t>
  </si>
  <si>
    <t>Rate*</t>
  </si>
  <si>
    <t xml:space="preserve">Note:  Include in this schedule the bond funding requirements from the Utility </t>
  </si>
  <si>
    <t xml:space="preserve">          Capital Improvement Plan schedules.</t>
  </si>
  <si>
    <r>
      <t xml:space="preserve">Grant administration </t>
    </r>
    <r>
      <rPr>
        <sz val="12"/>
        <color rgb="FFFF0000"/>
        <rFont val="Times New Roman"/>
        <family val="1"/>
      </rPr>
      <t>(if grant funding is anticipated)</t>
    </r>
  </si>
  <si>
    <r>
      <t xml:space="preserve">Underwriter's discount </t>
    </r>
    <r>
      <rPr>
        <sz val="12"/>
        <color rgb="FFFF0000"/>
        <rFont val="Times New Roman"/>
        <family val="1"/>
      </rPr>
      <t>(for open market bonds)</t>
    </r>
  </si>
  <si>
    <t>Proposed [Sewage Work/Waterworks] revenue bonds</t>
  </si>
  <si>
    <t>*Assumes a 4% SRF interest rate.</t>
  </si>
  <si>
    <t>OF PROPOSED [SEWAGE WORKS/WATERWORKS] REVENUE BONDS OF 2026</t>
  </si>
  <si>
    <t>SCHEDULE OF AMORTIZATION OF $2,290,000 PRINCIPAL AMOUNT</t>
  </si>
  <si>
    <t>Assumes bonds are issued July 1, 2026</t>
  </si>
  <si>
    <t>*Assumes a 5% SRF interest rate.</t>
  </si>
  <si>
    <t>(1)  Assumes the salaries and wages are adjusted per the adopted salary ordinance</t>
  </si>
  <si>
    <t xml:space="preserve">       and the addition one new employee.</t>
  </si>
  <si>
    <t>(2)  Benefits are adjusted to based on current premiums and adjusted for the new employee.</t>
  </si>
  <si>
    <t>(3)  Assumes a 3% inflationary increase.</t>
  </si>
  <si>
    <t>Sludge removal</t>
  </si>
  <si>
    <t>Purchased water/treatment</t>
  </si>
  <si>
    <t>Assumed inflation rate</t>
  </si>
  <si>
    <t xml:space="preserve">   Residential</t>
  </si>
  <si>
    <t xml:space="preserve">   Commercial</t>
  </si>
  <si>
    <t xml:space="preserve">   Industrial</t>
  </si>
  <si>
    <t xml:space="preserve">   Governmental</t>
  </si>
  <si>
    <t>Fire protection</t>
  </si>
  <si>
    <t>Excessive strength surcharges</t>
  </si>
  <si>
    <t>Capacity fees</t>
  </si>
  <si>
    <t>Depreciation/improvement fund</t>
  </si>
  <si>
    <t>Penalties/forfeited discounts</t>
  </si>
  <si>
    <t>SCHEDULE OF AMORTIZATION OF $2,955,000 PRINCIPAL AMOUNT</t>
  </si>
  <si>
    <t>[Sludge removal]</t>
  </si>
  <si>
    <t>[Purchased water/treatment]</t>
  </si>
  <si>
    <t>Residential</t>
  </si>
  <si>
    <t>Commercial</t>
  </si>
  <si>
    <t>Industrial</t>
  </si>
  <si>
    <t>Governmental</t>
  </si>
  <si>
    <t>Fire protection (1)</t>
  </si>
  <si>
    <t xml:space="preserve">       and to provide an allowance for tank maintenance.</t>
  </si>
  <si>
    <t>Monthly bill (currently $35.00 per month</t>
  </si>
  <si>
    <t>assuming residential usage of 4,000)</t>
  </si>
  <si>
    <t>Debt Service Coverage (All-In)</t>
  </si>
  <si>
    <t>Max DS</t>
  </si>
  <si>
    <t>Assumed at calendar year 2017 amounts.  The future revenue estimates assume no significant customer growth.</t>
  </si>
  <si>
    <t xml:space="preserve">The collection rate has historically been 98% for the last 5 years.  We have assumed a 95% collection rate for future </t>
  </si>
  <si>
    <t>years as an allowance for conservation and rate fatigue.</t>
  </si>
  <si>
    <t>Additional revenues from rate increases (2)</t>
  </si>
  <si>
    <t>Capacity fees (3)</t>
  </si>
  <si>
    <t>Assumes two new connections per year.</t>
  </si>
  <si>
    <t>Other revenues (4)</t>
  </si>
  <si>
    <t>Assumed at calendar year 2017 amounts.</t>
  </si>
  <si>
    <t>Operation and Maintenance Expenses (5)</t>
  </si>
  <si>
    <t>Misc. Revenues (4)</t>
  </si>
  <si>
    <t>Outstanding and proposed debt service (6)</t>
  </si>
  <si>
    <t>Payment in lieu of taxes (4)</t>
  </si>
  <si>
    <t>Capital improvements - cash funded (8)</t>
  </si>
  <si>
    <t>See the combined amortization schedule on page 7.</t>
  </si>
  <si>
    <t>See page 8 for the 2018 estimated amount.  Future years assume 3% annual inflationary increases.</t>
  </si>
  <si>
    <t>Assumes the debt service reserve account equal to the maximum annual principal and interest payment is</t>
  </si>
  <si>
    <t>funded from revenues over a 5 year period.</t>
  </si>
  <si>
    <t>See pages 1 and 2.</t>
  </si>
  <si>
    <t>(Cont'd)</t>
  </si>
  <si>
    <t>(Continued on next page)</t>
  </si>
  <si>
    <t>For Cash Basis Financial Statements</t>
  </si>
  <si>
    <t>* Historical financial statements.</t>
  </si>
  <si>
    <t>SCHEDULE OF AMORTIZATION OF $1,115,000 PRINCIPAL AMOUNT</t>
  </si>
  <si>
    <t>For Accrual Financial Statements - Insert in next few worksheets.</t>
  </si>
  <si>
    <t xml:space="preserve">   Average annual rate funded capital improvements</t>
  </si>
  <si>
    <t>(4)  The repairs and maintenance and insurance expenses are adjusted to the budgeted amount</t>
  </si>
  <si>
    <t>As of:</t>
  </si>
  <si>
    <t>12/31/20__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</si>
</sst>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_(* #,##0.000_);_(* \(#,##0.000\);_(* &quot;-&quot;??_);_(@_)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&quot;"/>
    <numFmt numFmtId="171" formatCode="0_);\(0\)"/>
    <numFmt numFmtId="172" formatCode="0.00_);\(0.00\)"/>
    <numFmt numFmtId="173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/>
    <xf numFmtId="5" fontId="4" fillId="0" borderId="0" xfId="0" applyNumberFormat="1" applyFont="1"/>
    <xf numFmtId="43" fontId="4" fillId="0" borderId="0" xfId="0" applyNumberFormat="1" applyFont="1" applyAlignme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37" fontId="4" fillId="0" borderId="0" xfId="0" applyNumberFormat="1" applyFont="1"/>
    <xf numFmtId="37" fontId="4" fillId="0" borderId="0" xfId="0" applyNumberFormat="1" applyFont="1" applyBorder="1"/>
    <xf numFmtId="0" fontId="4" fillId="0" borderId="2" xfId="0" applyFont="1" applyBorder="1"/>
    <xf numFmtId="5" fontId="4" fillId="0" borderId="0" xfId="0" applyNumberFormat="1" applyFont="1" applyBorder="1"/>
    <xf numFmtId="7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8" fillId="0" borderId="0" xfId="0" applyFont="1"/>
    <xf numFmtId="37" fontId="5" fillId="0" borderId="0" xfId="0" applyNumberFormat="1" applyFont="1" applyAlignment="1">
      <alignment horizontal="centerContinuous"/>
    </xf>
    <xf numFmtId="0" fontId="4" fillId="0" borderId="0" xfId="0" applyFont="1" applyAlignment="1"/>
    <xf numFmtId="0" fontId="4" fillId="0" borderId="4" xfId="0" applyFont="1" applyBorder="1" applyAlignment="1"/>
    <xf numFmtId="0" fontId="4" fillId="0" borderId="4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39" fontId="4" fillId="0" borderId="0" xfId="0" applyNumberFormat="1" applyFont="1" applyAlignment="1"/>
    <xf numFmtId="37" fontId="4" fillId="0" borderId="0" xfId="0" applyNumberFormat="1" applyFont="1" applyAlignment="1"/>
    <xf numFmtId="37" fontId="4" fillId="0" borderId="0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Continuous"/>
    </xf>
    <xf numFmtId="0" fontId="7" fillId="0" borderId="0" xfId="0" applyFont="1"/>
    <xf numFmtId="5" fontId="4" fillId="0" borderId="3" xfId="0" applyNumberFormat="1" applyFont="1" applyBorder="1"/>
    <xf numFmtId="5" fontId="4" fillId="0" borderId="2" xfId="0" applyNumberFormat="1" applyFont="1" applyBorder="1"/>
    <xf numFmtId="0" fontId="8" fillId="0" borderId="0" xfId="0" applyFont="1" applyAlignment="1">
      <alignment horizontal="centerContinuous"/>
    </xf>
    <xf numFmtId="8" fontId="4" fillId="0" borderId="0" xfId="0" applyNumberFormat="1" applyFont="1"/>
    <xf numFmtId="1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Continuous"/>
    </xf>
    <xf numFmtId="43" fontId="4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3" fontId="5" fillId="0" borderId="0" xfId="0" applyNumberFormat="1" applyFont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10" fontId="4" fillId="0" borderId="0" xfId="0" applyNumberFormat="1" applyFont="1"/>
    <xf numFmtId="43" fontId="4" fillId="0" borderId="0" xfId="0" applyNumberFormat="1" applyFont="1"/>
    <xf numFmtId="43" fontId="4" fillId="0" borderId="0" xfId="0" applyNumberFormat="1" applyFont="1" applyAlignment="1">
      <alignment horizontal="centerContinuous"/>
    </xf>
    <xf numFmtId="37" fontId="4" fillId="0" borderId="0" xfId="0" applyNumberFormat="1" applyFont="1" applyBorder="1"/>
    <xf numFmtId="0" fontId="4" fillId="0" borderId="0" xfId="0" applyFont="1" applyBorder="1"/>
    <xf numFmtId="37" fontId="4" fillId="0" borderId="0" xfId="0" applyNumberFormat="1" applyFont="1" applyAlignment="1">
      <alignment horizontal="centerContinuous"/>
    </xf>
    <xf numFmtId="5" fontId="4" fillId="0" borderId="0" xfId="0" applyNumberFormat="1" applyFont="1" applyBorder="1"/>
    <xf numFmtId="7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Alignment="1"/>
    <xf numFmtId="37" fontId="4" fillId="0" borderId="0" xfId="0" applyNumberFormat="1" applyFont="1" applyBorder="1" applyAlignment="1"/>
    <xf numFmtId="0" fontId="4" fillId="0" borderId="0" xfId="0" applyNumberFormat="1" applyFont="1" applyAlignment="1"/>
    <xf numFmtId="37" fontId="4" fillId="0" borderId="0" xfId="0" applyNumberFormat="1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Border="1" applyAlignment="1"/>
    <xf numFmtId="0" fontId="4" fillId="0" borderId="0" xfId="0" applyNumberFormat="1" applyFont="1" applyAlignment="1">
      <alignment horizontal="center"/>
    </xf>
    <xf numFmtId="5" fontId="4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43" fontId="4" fillId="0" borderId="0" xfId="0" applyNumberFormat="1" applyFont="1" applyBorder="1" applyAlignment="1"/>
    <xf numFmtId="43" fontId="4" fillId="0" borderId="2" xfId="0" applyNumberFormat="1" applyFont="1" applyBorder="1"/>
    <xf numFmtId="0" fontId="6" fillId="0" borderId="0" xfId="0" applyFont="1" applyAlignment="1">
      <alignment horizontal="centerContinuous"/>
    </xf>
    <xf numFmtId="0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indent="4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41" fontId="4" fillId="0" borderId="0" xfId="0" applyNumberFormat="1" applyFont="1" applyBorder="1"/>
    <xf numFmtId="43" fontId="4" fillId="0" borderId="0" xfId="0" applyNumberFormat="1" applyFont="1" applyAlignment="1"/>
    <xf numFmtId="10" fontId="4" fillId="0" borderId="0" xfId="0" applyNumberFormat="1" applyFont="1" applyAlignment="1"/>
    <xf numFmtId="165" fontId="4" fillId="0" borderId="0" xfId="0" applyNumberFormat="1" applyFont="1" applyAlignment="1">
      <alignment horizontal="center"/>
    </xf>
    <xf numFmtId="42" fontId="4" fillId="0" borderId="0" xfId="0" applyNumberFormat="1" applyFont="1" applyBorder="1"/>
    <xf numFmtId="0" fontId="4" fillId="0" borderId="0" xfId="0" applyNumberFormat="1" applyFont="1"/>
    <xf numFmtId="44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indent="3"/>
    </xf>
    <xf numFmtId="168" fontId="4" fillId="0" borderId="0" xfId="0" applyNumberFormat="1" applyFont="1"/>
    <xf numFmtId="41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Continuous"/>
    </xf>
    <xf numFmtId="41" fontId="4" fillId="0" borderId="0" xfId="0" applyNumberFormat="1" applyFont="1" applyAlignment="1"/>
    <xf numFmtId="39" fontId="4" fillId="0" borderId="0" xfId="0" applyNumberFormat="1" applyFont="1" applyAlignment="1">
      <alignment horizontal="left" indent="1"/>
    </xf>
    <xf numFmtId="41" fontId="4" fillId="0" borderId="0" xfId="0" applyNumberFormat="1" applyFont="1"/>
    <xf numFmtId="0" fontId="4" fillId="0" borderId="0" xfId="0" applyFont="1" applyBorder="1" applyAlignment="1">
      <alignment horizontal="left" indent="3"/>
    </xf>
    <xf numFmtId="0" fontId="4" fillId="0" borderId="0" xfId="0" applyFont="1"/>
    <xf numFmtId="0" fontId="7" fillId="0" borderId="0" xfId="0" applyFont="1"/>
    <xf numFmtId="39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1" xfId="0" applyNumberFormat="1" applyFont="1" applyBorder="1" applyAlignment="1">
      <alignment horizontal="center"/>
    </xf>
    <xf numFmtId="170" fontId="4" fillId="0" borderId="0" xfId="0" applyNumberFormat="1" applyFont="1"/>
    <xf numFmtId="170" fontId="4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8" fontId="4" fillId="0" borderId="0" xfId="0" applyNumberFormat="1" applyFont="1" applyAlignment="1"/>
    <xf numFmtId="41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centerContinuous"/>
    </xf>
    <xf numFmtId="170" fontId="5" fillId="0" borderId="0" xfId="0" applyNumberFormat="1" applyFont="1" applyAlignment="1">
      <alignment horizontal="centerContinuous"/>
    </xf>
    <xf numFmtId="7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 indent="6"/>
    </xf>
    <xf numFmtId="7" fontId="4" fillId="0" borderId="0" xfId="0" applyNumberFormat="1" applyFont="1" applyAlignment="1"/>
    <xf numFmtId="7" fontId="4" fillId="0" borderId="0" xfId="0" applyNumberFormat="1" applyFont="1"/>
    <xf numFmtId="171" fontId="4" fillId="0" borderId="0" xfId="0" quotePrefix="1" applyNumberFormat="1" applyFont="1" applyAlignment="1">
      <alignment horizontal="center"/>
    </xf>
    <xf numFmtId="171" fontId="4" fillId="0" borderId="0" xfId="0" applyNumberFormat="1" applyFont="1"/>
    <xf numFmtId="169" fontId="4" fillId="0" borderId="1" xfId="0" applyNumberFormat="1" applyFont="1" applyBorder="1"/>
    <xf numFmtId="169" fontId="4" fillId="0" borderId="0" xfId="0" applyNumberFormat="1" applyFont="1" applyBorder="1"/>
    <xf numFmtId="4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/>
    <xf numFmtId="43" fontId="4" fillId="0" borderId="2" xfId="0" applyNumberFormat="1" applyFont="1" applyBorder="1" applyAlignment="1"/>
    <xf numFmtId="37" fontId="4" fillId="0" borderId="2" xfId="0" applyNumberFormat="1" applyFont="1" applyBorder="1" applyAlignment="1"/>
    <xf numFmtId="39" fontId="4" fillId="0" borderId="2" xfId="0" applyNumberFormat="1" applyFont="1" applyBorder="1" applyAlignment="1"/>
    <xf numFmtId="0" fontId="4" fillId="0" borderId="1" xfId="0" applyFont="1" applyBorder="1" applyAlignment="1">
      <alignment horizontal="center"/>
    </xf>
    <xf numFmtId="37" fontId="4" fillId="0" borderId="0" xfId="0" applyNumberFormat="1" applyFont="1"/>
    <xf numFmtId="41" fontId="4" fillId="0" borderId="2" xfId="0" applyNumberFormat="1" applyFont="1" applyBorder="1"/>
    <xf numFmtId="41" fontId="4" fillId="0" borderId="0" xfId="0" applyNumberFormat="1" applyFont="1" applyBorder="1"/>
    <xf numFmtId="37" fontId="4" fillId="0" borderId="2" xfId="0" applyNumberFormat="1" applyFont="1" applyBorder="1"/>
    <xf numFmtId="169" fontId="4" fillId="0" borderId="2" xfId="0" applyNumberFormat="1" applyFont="1" applyBorder="1"/>
    <xf numFmtId="41" fontId="4" fillId="0" borderId="0" xfId="0" applyNumberFormat="1" applyFont="1" applyAlignment="1"/>
    <xf numFmtId="7" fontId="4" fillId="0" borderId="0" xfId="0" applyNumberFormat="1" applyFont="1" applyBorder="1" applyAlignment="1"/>
    <xf numFmtId="0" fontId="5" fillId="0" borderId="0" xfId="0" applyFont="1" applyAlignment="1">
      <alignment horizontal="centerContinuous"/>
    </xf>
    <xf numFmtId="5" fontId="4" fillId="0" borderId="0" xfId="0" applyNumberFormat="1" applyFont="1"/>
    <xf numFmtId="0" fontId="4" fillId="0" borderId="2" xfId="0" applyFont="1" applyBorder="1"/>
    <xf numFmtId="0" fontId="4" fillId="0" borderId="2" xfId="0" applyFont="1" applyBorder="1" applyAlignment="1">
      <alignment horizontal="centerContinuous"/>
    </xf>
    <xf numFmtId="37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3"/>
    </xf>
    <xf numFmtId="5" fontId="4" fillId="0" borderId="2" xfId="0" applyNumberFormat="1" applyFont="1" applyBorder="1" applyAlignment="1"/>
    <xf numFmtId="41" fontId="4" fillId="0" borderId="2" xfId="0" applyNumberFormat="1" applyFont="1" applyBorder="1" applyAlignment="1"/>
    <xf numFmtId="14" fontId="4" fillId="0" borderId="1" xfId="0" applyNumberFormat="1" applyFont="1" applyBorder="1" applyAlignment="1">
      <alignment horizontal="center"/>
    </xf>
    <xf numFmtId="41" fontId="4" fillId="0" borderId="0" xfId="0" applyNumberFormat="1" applyFont="1"/>
    <xf numFmtId="42" fontId="4" fillId="0" borderId="0" xfId="0" applyNumberFormat="1" applyFont="1" applyBorder="1"/>
    <xf numFmtId="41" fontId="4" fillId="0" borderId="0" xfId="0" applyNumberFormat="1" applyFont="1" applyBorder="1"/>
    <xf numFmtId="41" fontId="4" fillId="0" borderId="0" xfId="0" applyNumberFormat="1" applyFont="1"/>
    <xf numFmtId="44" fontId="4" fillId="0" borderId="0" xfId="0" applyNumberFormat="1" applyFont="1" applyAlignment="1"/>
    <xf numFmtId="43" fontId="4" fillId="0" borderId="0" xfId="0" applyNumberFormat="1" applyFont="1" applyBorder="1"/>
    <xf numFmtId="0" fontId="4" fillId="0" borderId="0" xfId="0" applyFont="1" applyAlignment="1">
      <alignment horizontal="left" indent="2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/>
    <xf numFmtId="0" fontId="12" fillId="0" borderId="0" xfId="1" applyFont="1" applyAlignment="1">
      <alignment horizontal="centerContinuous"/>
    </xf>
    <xf numFmtId="0" fontId="10" fillId="0" borderId="0" xfId="1" applyFont="1"/>
    <xf numFmtId="0" fontId="11" fillId="0" borderId="0" xfId="1" applyFont="1" applyBorder="1"/>
    <xf numFmtId="0" fontId="11" fillId="0" borderId="0" xfId="1" applyFont="1" applyFill="1"/>
    <xf numFmtId="9" fontId="11" fillId="0" borderId="0" xfId="1" applyNumberFormat="1" applyFont="1"/>
    <xf numFmtId="9" fontId="11" fillId="0" borderId="0" xfId="2" applyFont="1"/>
    <xf numFmtId="0" fontId="11" fillId="0" borderId="0" xfId="1" quotePrefix="1" applyFont="1"/>
    <xf numFmtId="169" fontId="4" fillId="0" borderId="0" xfId="0" applyNumberFormat="1" applyFont="1" applyFill="1" applyBorder="1"/>
    <xf numFmtId="9" fontId="4" fillId="2" borderId="0" xfId="0" applyNumberFormat="1" applyFont="1" applyFill="1" applyBorder="1"/>
    <xf numFmtId="0" fontId="4" fillId="0" borderId="0" xfId="0" applyFont="1" applyBorder="1" applyAlignment="1">
      <alignment horizontal="right"/>
    </xf>
    <xf numFmtId="169" fontId="4" fillId="0" borderId="0" xfId="7" applyNumberFormat="1" applyFont="1"/>
    <xf numFmtId="169" fontId="4" fillId="0" borderId="0" xfId="7" applyNumberFormat="1" applyFont="1" applyFill="1"/>
    <xf numFmtId="5" fontId="4" fillId="0" borderId="0" xfId="0" applyNumberFormat="1" applyFont="1" applyFill="1" applyBorder="1"/>
    <xf numFmtId="5" fontId="4" fillId="0" borderId="0" xfId="0" applyNumberFormat="1" applyFont="1" applyAlignment="1"/>
    <xf numFmtId="5" fontId="4" fillId="0" borderId="3" xfId="0" applyNumberFormat="1" applyFont="1" applyBorder="1" applyAlignment="1"/>
    <xf numFmtId="7" fontId="4" fillId="0" borderId="3" xfId="0" applyNumberFormat="1" applyFont="1" applyBorder="1" applyAlignment="1"/>
    <xf numFmtId="7" fontId="4" fillId="0" borderId="3" xfId="0" applyNumberFormat="1" applyFont="1" applyBorder="1"/>
    <xf numFmtId="5" fontId="4" fillId="0" borderId="0" xfId="0" applyNumberFormat="1" applyFont="1" applyFill="1"/>
    <xf numFmtId="0" fontId="4" fillId="0" borderId="0" xfId="5" applyFont="1" applyAlignment="1">
      <alignment horizontal="centerContinuous"/>
    </xf>
    <xf numFmtId="0" fontId="4" fillId="0" borderId="0" xfId="5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"/>
    </xf>
    <xf numFmtId="43" fontId="4" fillId="2" borderId="0" xfId="0" applyNumberFormat="1" applyFont="1" applyFill="1" applyBorder="1"/>
    <xf numFmtId="8" fontId="4" fillId="0" borderId="0" xfId="0" applyNumberFormat="1" applyFont="1" applyBorder="1"/>
    <xf numFmtId="44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/>
    <xf numFmtId="37" fontId="4" fillId="2" borderId="0" xfId="0" applyNumberFormat="1" applyFont="1" applyFill="1" applyBorder="1"/>
    <xf numFmtId="43" fontId="4" fillId="0" borderId="0" xfId="0" applyNumberFormat="1" applyFont="1" applyBorder="1" applyAlignment="1">
      <alignment horizontal="left"/>
    </xf>
    <xf numFmtId="164" fontId="4" fillId="2" borderId="0" xfId="0" applyNumberFormat="1" applyFont="1" applyFill="1" applyBorder="1"/>
    <xf numFmtId="10" fontId="4" fillId="2" borderId="0" xfId="0" applyNumberFormat="1" applyFont="1" applyFill="1" applyBorder="1"/>
    <xf numFmtId="14" fontId="4" fillId="2" borderId="0" xfId="0" applyNumberFormat="1" applyFont="1" applyFill="1" applyBorder="1"/>
    <xf numFmtId="1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43" fontId="4" fillId="0" borderId="0" xfId="0" applyNumberFormat="1" applyFont="1" applyBorder="1" applyAlignment="1">
      <alignment horizontal="centerContinuous"/>
    </xf>
    <xf numFmtId="171" fontId="4" fillId="0" borderId="0" xfId="0" quotePrefix="1" applyNumberFormat="1" applyFont="1" applyBorder="1" applyAlignment="1">
      <alignment horizontal="center"/>
    </xf>
    <xf numFmtId="41" fontId="4" fillId="0" borderId="5" xfId="0" applyNumberFormat="1" applyFont="1" applyBorder="1"/>
    <xf numFmtId="0" fontId="7" fillId="0" borderId="0" xfId="0" applyFont="1" applyBorder="1"/>
    <xf numFmtId="165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Continuous"/>
    </xf>
    <xf numFmtId="5" fontId="4" fillId="0" borderId="3" xfId="0" applyNumberFormat="1" applyFont="1" applyFill="1" applyBorder="1" applyAlignment="1"/>
    <xf numFmtId="5" fontId="4" fillId="0" borderId="0" xfId="0" applyNumberFormat="1" applyFont="1" applyFill="1" applyBorder="1" applyAlignment="1"/>
    <xf numFmtId="0" fontId="11" fillId="0" borderId="0" xfId="1" applyFont="1" applyBorder="1" applyAlignment="1">
      <alignment horizontal="centerContinuous"/>
    </xf>
    <xf numFmtId="169" fontId="11" fillId="0" borderId="0" xfId="3" applyNumberFormat="1" applyFont="1" applyBorder="1"/>
    <xf numFmtId="0" fontId="5" fillId="0" borderId="0" xfId="5" applyFont="1" applyAlignment="1">
      <alignment horizontal="center"/>
    </xf>
    <xf numFmtId="0" fontId="5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4" fillId="0" borderId="1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0" xfId="5" quotePrefix="1" applyFont="1" applyAlignment="1">
      <alignment horizontal="center"/>
    </xf>
    <xf numFmtId="0" fontId="4" fillId="0" borderId="0" xfId="5" applyFont="1" applyBorder="1"/>
    <xf numFmtId="5" fontId="4" fillId="0" borderId="0" xfId="5" applyNumberFormat="1" applyFont="1"/>
    <xf numFmtId="5" fontId="4" fillId="0" borderId="0" xfId="5" applyNumberFormat="1" applyFont="1" applyBorder="1"/>
    <xf numFmtId="37" fontId="4" fillId="0" borderId="0" xfId="5" applyNumberFormat="1" applyFont="1"/>
    <xf numFmtId="43" fontId="4" fillId="0" borderId="0" xfId="7" applyFont="1"/>
    <xf numFmtId="39" fontId="4" fillId="0" borderId="0" xfId="5" applyNumberFormat="1" applyFont="1"/>
    <xf numFmtId="37" fontId="4" fillId="0" borderId="0" xfId="7" applyNumberFormat="1" applyFont="1"/>
    <xf numFmtId="37" fontId="4" fillId="0" borderId="0" xfId="5" applyNumberFormat="1" applyFont="1" applyBorder="1"/>
    <xf numFmtId="169" fontId="4" fillId="0" borderId="1" xfId="5" applyNumberFormat="1" applyFont="1" applyBorder="1"/>
    <xf numFmtId="169" fontId="4" fillId="0" borderId="0" xfId="5" applyNumberFormat="1" applyFont="1" applyBorder="1"/>
    <xf numFmtId="169" fontId="4" fillId="0" borderId="0" xfId="5" applyNumberFormat="1" applyFont="1"/>
    <xf numFmtId="169" fontId="4" fillId="0" borderId="1" xfId="7" applyNumberFormat="1" applyFont="1" applyBorder="1"/>
    <xf numFmtId="169" fontId="4" fillId="0" borderId="0" xfId="7" applyNumberFormat="1" applyFont="1" applyBorder="1"/>
    <xf numFmtId="0" fontId="4" fillId="0" borderId="0" xfId="5" applyFont="1" applyFill="1"/>
    <xf numFmtId="0" fontId="4" fillId="0" borderId="2" xfId="5" applyFont="1" applyBorder="1"/>
    <xf numFmtId="43" fontId="4" fillId="0" borderId="0" xfId="5" applyNumberFormat="1" applyFont="1"/>
    <xf numFmtId="5" fontId="4" fillId="0" borderId="3" xfId="5" applyNumberFormat="1" applyFont="1" applyBorder="1"/>
    <xf numFmtId="43" fontId="4" fillId="0" borderId="0" xfId="5" applyNumberFormat="1" applyFont="1" applyBorder="1"/>
    <xf numFmtId="10" fontId="4" fillId="0" borderId="3" xfId="5" applyNumberFormat="1" applyFont="1" applyBorder="1"/>
    <xf numFmtId="10" fontId="4" fillId="0" borderId="0" xfId="5" quotePrefix="1" applyNumberFormat="1" applyFont="1"/>
    <xf numFmtId="167" fontId="4" fillId="0" borderId="0" xfId="5" quotePrefix="1" applyNumberFormat="1" applyFont="1"/>
    <xf numFmtId="167" fontId="4" fillId="0" borderId="0" xfId="5" applyNumberFormat="1" applyFont="1"/>
    <xf numFmtId="10" fontId="4" fillId="0" borderId="0" xfId="5" applyNumberFormat="1" applyFont="1" applyBorder="1"/>
    <xf numFmtId="7" fontId="4" fillId="0" borderId="3" xfId="9" applyNumberFormat="1" applyFont="1" applyBorder="1"/>
    <xf numFmtId="7" fontId="4" fillId="0" borderId="0" xfId="9" applyNumberFormat="1" applyFont="1" applyBorder="1"/>
    <xf numFmtId="0" fontId="4" fillId="0" borderId="0" xfId="5" quotePrefix="1" applyFont="1"/>
    <xf numFmtId="9" fontId="4" fillId="0" borderId="3" xfId="8" applyNumberFormat="1" applyFont="1" applyBorder="1"/>
    <xf numFmtId="43" fontId="4" fillId="0" borderId="2" xfId="7" applyFont="1" applyBorder="1"/>
    <xf numFmtId="169" fontId="4" fillId="0" borderId="3" xfId="5" applyNumberFormat="1" applyFont="1" applyBorder="1"/>
    <xf numFmtId="0" fontId="4" fillId="0" borderId="0" xfId="5" quotePrefix="1" applyFont="1" applyAlignment="1">
      <alignment horizontal="centerContinuous"/>
    </xf>
    <xf numFmtId="43" fontId="4" fillId="0" borderId="0" xfId="5" applyNumberFormat="1" applyFont="1" applyAlignment="1">
      <alignment horizontal="centerContinuous"/>
    </xf>
    <xf numFmtId="43" fontId="4" fillId="0" borderId="0" xfId="5" applyNumberFormat="1" applyFont="1" applyBorder="1" applyAlignment="1">
      <alignment horizontal="centerContinuous"/>
    </xf>
    <xf numFmtId="0" fontId="4" fillId="0" borderId="0" xfId="0" applyFont="1" applyAlignment="1">
      <alignment horizontal="left" wrapText="1"/>
    </xf>
    <xf numFmtId="37" fontId="4" fillId="0" borderId="0" xfId="5" applyNumberFormat="1" applyFont="1" applyAlignment="1">
      <alignment horizontal="centerContinuous"/>
    </xf>
    <xf numFmtId="9" fontId="11" fillId="0" borderId="0" xfId="8" applyFont="1"/>
    <xf numFmtId="44" fontId="4" fillId="0" borderId="0" xfId="9" applyFont="1" applyAlignment="1">
      <alignment horizontal="right"/>
    </xf>
    <xf numFmtId="165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164" fontId="4" fillId="2" borderId="6" xfId="0" applyNumberFormat="1" applyFont="1" applyFill="1" applyBorder="1"/>
    <xf numFmtId="10" fontId="4" fillId="2" borderId="6" xfId="0" applyNumberFormat="1" applyFont="1" applyFill="1" applyBorder="1"/>
    <xf numFmtId="164" fontId="4" fillId="0" borderId="0" xfId="0" applyNumberFormat="1" applyFont="1"/>
    <xf numFmtId="165" fontId="4" fillId="0" borderId="0" xfId="0" applyNumberFormat="1" applyFont="1" applyAlignment="1"/>
    <xf numFmtId="37" fontId="4" fillId="0" borderId="0" xfId="0" applyNumberFormat="1" applyFont="1" applyFill="1"/>
    <xf numFmtId="37" fontId="4" fillId="0" borderId="0" xfId="0" applyNumberFormat="1" applyFont="1" applyAlignment="1">
      <alignment horizontal="left" wrapText="1"/>
    </xf>
    <xf numFmtId="37" fontId="4" fillId="0" borderId="0" xfId="0" applyNumberFormat="1" applyFont="1" applyAlignment="1">
      <alignment horizontal="left" indent="2"/>
    </xf>
    <xf numFmtId="37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indent="6"/>
    </xf>
    <xf numFmtId="0" fontId="4" fillId="0" borderId="0" xfId="0" applyNumberFormat="1" applyFont="1" applyBorder="1" applyAlignment="1">
      <alignment horizontal="centerContinuous"/>
    </xf>
    <xf numFmtId="39" fontId="4" fillId="0" borderId="0" xfId="9" applyNumberFormat="1" applyFont="1" applyAlignment="1"/>
    <xf numFmtId="173" fontId="4" fillId="0" borderId="0" xfId="0" applyNumberFormat="1" applyFont="1"/>
    <xf numFmtId="169" fontId="4" fillId="0" borderId="0" xfId="0" applyNumberFormat="1" applyFont="1"/>
    <xf numFmtId="169" fontId="4" fillId="0" borderId="2" xfId="0" applyNumberFormat="1" applyFont="1" applyFill="1" applyBorder="1"/>
    <xf numFmtId="41" fontId="4" fillId="0" borderId="0" xfId="0" applyNumberFormat="1" applyFont="1" applyBorder="1" applyAlignment="1"/>
    <xf numFmtId="172" fontId="4" fillId="0" borderId="0" xfId="0" applyNumberFormat="1" applyFont="1" applyBorder="1" applyAlignment="1"/>
    <xf numFmtId="0" fontId="4" fillId="0" borderId="0" xfId="0" applyFont="1" applyFill="1" applyAlignment="1">
      <alignment horizontal="left" indent="1"/>
    </xf>
    <xf numFmtId="0" fontId="4" fillId="0" borderId="1" xfId="5" applyFont="1" applyBorder="1" applyAlignment="1">
      <alignment horizontal="center"/>
    </xf>
    <xf numFmtId="39" fontId="4" fillId="0" borderId="0" xfId="0" applyNumberFormat="1" applyFont="1" applyBorder="1" applyAlignment="1"/>
    <xf numFmtId="171" fontId="4" fillId="0" borderId="0" xfId="0" quotePrefix="1" applyNumberFormat="1" applyFont="1" applyAlignment="1">
      <alignment horizontal="left"/>
    </xf>
    <xf numFmtId="0" fontId="10" fillId="0" borderId="0" xfId="1" quotePrefix="1" applyFont="1" applyAlignment="1">
      <alignment horizontal="center"/>
    </xf>
    <xf numFmtId="0" fontId="5" fillId="0" borderId="0" xfId="0" quotePrefix="1" applyNumberFormat="1" applyFont="1" applyFill="1" applyAlignment="1"/>
    <xf numFmtId="0" fontId="7" fillId="0" borderId="0" xfId="0" applyNumberFormat="1" applyFont="1" applyFill="1" applyAlignment="1"/>
    <xf numFmtId="0" fontId="4" fillId="0" borderId="0" xfId="0" applyNumberFormat="1" applyFont="1" applyFill="1" applyAlignment="1"/>
    <xf numFmtId="0" fontId="15" fillId="2" borderId="0" xfId="0" quotePrefix="1" applyNumberFormat="1" applyFont="1" applyFill="1" applyAlignment="1"/>
    <xf numFmtId="0" fontId="6" fillId="2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5" fillId="2" borderId="0" xfId="0" applyFont="1" applyFill="1" applyAlignment="1"/>
    <xf numFmtId="0" fontId="6" fillId="0" borderId="0" xfId="5" applyFont="1" applyAlignment="1">
      <alignment horizontal="center"/>
    </xf>
    <xf numFmtId="0" fontId="4" fillId="0" borderId="1" xfId="5" applyFont="1" applyBorder="1" applyAlignment="1">
      <alignment horizontal="center"/>
    </xf>
    <xf numFmtId="37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</cellXfs>
  <cellStyles count="10">
    <cellStyle name="Comma" xfId="7" builtinId="3"/>
    <cellStyle name="Comma 2" xfId="3"/>
    <cellStyle name="Currency" xfId="9" builtinId="4"/>
    <cellStyle name="Normal" xfId="0" builtinId="0"/>
    <cellStyle name="Normal 2" xfId="1"/>
    <cellStyle name="Normal 2 2" xfId="6"/>
    <cellStyle name="Normal 3" xfId="4"/>
    <cellStyle name="Normal 4" xfId="5"/>
    <cellStyle name="Percent" xfId="8" builtinId="5"/>
    <cellStyle name="Percent 2" xfId="2"/>
  </cellStyles>
  <dxfs count="0"/>
  <tableStyles count="0" defaultTableStyle="TableStyleMedium9" defaultPivotStyle="PivotStyleLight16"/>
  <colors>
    <mruColors>
      <color rgb="FFF45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WSU\DKHAYUM\WTR05\Water%20Year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WSU\DKHAYUM\CASHFS05\WaterJUNE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TitzerQuery"/>
      <sheetName val="WATER05"/>
      <sheetName val="CAPITAL 2005"/>
      <sheetName val="Approp Transfers 05"/>
      <sheetName val="ckchange"/>
      <sheetName val="Rev. % 05"/>
      <sheetName val="BUDGETDETAIL"/>
      <sheetName val="Carryover05"/>
      <sheetName val="Sheet4"/>
      <sheetName val="Sheet3"/>
      <sheetName val="Sheet2"/>
      <sheetName val="WATER04FINAL"/>
      <sheetName val="CAPITAL 2004"/>
      <sheetName val="Approp Transfers"/>
      <sheetName val="Sheet1"/>
      <sheetName val="WATER04 UNADJ"/>
      <sheetName val="wtrsalesbudget"/>
      <sheetName val="Rev. %"/>
      <sheetName val="Carryover 2005"/>
      <sheetName val="Carryover 2004 "/>
      <sheetName val="Carryover 2006"/>
      <sheetName val="Rate Comp"/>
      <sheetName val="Disb"/>
      <sheetName val="Trial Balanc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05"/>
      <sheetName val="CAPITAL 2005"/>
      <sheetName val="Approp Transfers 05"/>
      <sheetName val="ckchange"/>
      <sheetName val="Rev. % 05"/>
      <sheetName val="BUDGETDETAIL"/>
      <sheetName val="Carryover05"/>
      <sheetName val="Sheet4"/>
      <sheetName val="Sheet3"/>
      <sheetName val="Sheet2"/>
      <sheetName val="WATER04FINAL"/>
      <sheetName val="CAPITAL 2004"/>
      <sheetName val="Approp Transfers"/>
      <sheetName val="Sheet1"/>
      <sheetName val="WATER04 UNADJ"/>
      <sheetName val="wtrsalesbudget"/>
      <sheetName val="Rev. %"/>
      <sheetName val="Carryover 2005"/>
      <sheetName val="Carryover 2004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46"/>
  <sheetViews>
    <sheetView view="pageBreakPreview" zoomScale="80" zoomScaleNormal="100" zoomScaleSheetLayoutView="80" zoomScalePageLayoutView="80" workbookViewId="0">
      <selection activeCell="A12" sqref="A12"/>
    </sheetView>
  </sheetViews>
  <sheetFormatPr defaultColWidth="9.140625" defaultRowHeight="15.75" x14ac:dyDescent="0.25"/>
  <cols>
    <col min="1" max="1" width="30.7109375" style="1" customWidth="1"/>
    <col min="2" max="2" width="1.7109375" style="1" customWidth="1"/>
    <col min="3" max="3" width="12.7109375" style="1" bestFit="1" customWidth="1"/>
    <col min="4" max="4" width="1.7109375" style="1" customWidth="1"/>
    <col min="5" max="5" width="12.5703125" style="1" bestFit="1" customWidth="1"/>
    <col min="6" max="6" width="1.7109375" style="1" customWidth="1"/>
    <col min="7" max="7" width="13.140625" style="1" bestFit="1" customWidth="1"/>
    <col min="8" max="8" width="1.7109375" style="1" customWidth="1"/>
    <col min="9" max="9" width="13" style="1" customWidth="1"/>
    <col min="10" max="10" width="1.7109375" style="1" customWidth="1"/>
    <col min="11" max="11" width="13.140625" style="96" customWidth="1"/>
    <col min="12" max="12" width="1.7109375" style="96" customWidth="1"/>
    <col min="13" max="13" width="13.140625" style="96" customWidth="1"/>
    <col min="14" max="14" width="1.7109375" style="96" customWidth="1"/>
    <col min="15" max="15" width="13.140625" style="96" customWidth="1"/>
    <col min="16" max="16" width="1.7109375" style="96" customWidth="1"/>
    <col min="17" max="17" width="13.140625" style="96" customWidth="1"/>
    <col min="18" max="18" width="1.7109375" style="96" customWidth="1"/>
    <col min="19" max="19" width="13.140625" style="96" customWidth="1"/>
    <col min="20" max="20" width="1.7109375" style="96" customWidth="1"/>
    <col min="21" max="21" width="13" style="1" customWidth="1"/>
    <col min="22" max="22" width="1.28515625" style="1" customWidth="1"/>
    <col min="23" max="23" width="13.7109375" style="1" customWidth="1"/>
    <col min="24" max="16384" width="9.140625" style="1"/>
  </cols>
  <sheetData>
    <row r="1" spans="1:39" x14ac:dyDescent="0.25">
      <c r="A1" s="141" t="s">
        <v>122</v>
      </c>
      <c r="B1" s="5"/>
      <c r="C1" s="5"/>
      <c r="D1" s="5"/>
      <c r="E1" s="5"/>
      <c r="F1" s="5"/>
      <c r="G1" s="5"/>
      <c r="H1" s="5"/>
      <c r="I1" s="5"/>
      <c r="J1" s="5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5"/>
      <c r="V1" s="5"/>
      <c r="W1" s="5"/>
      <c r="AM1" s="1">
        <v>8</v>
      </c>
    </row>
    <row r="2" spans="1:39" x14ac:dyDescent="0.25">
      <c r="A2" s="103"/>
    </row>
    <row r="3" spans="1:39" x14ac:dyDescent="0.25">
      <c r="A3" s="6" t="s">
        <v>18</v>
      </c>
      <c r="B3" s="4"/>
      <c r="C3" s="4"/>
      <c r="D3" s="4"/>
      <c r="E3" s="4"/>
      <c r="F3" s="4"/>
      <c r="G3" s="4"/>
      <c r="H3" s="4"/>
      <c r="I3" s="4"/>
      <c r="J3" s="4"/>
      <c r="K3" s="91"/>
      <c r="L3" s="91"/>
      <c r="M3" s="91"/>
      <c r="N3" s="91"/>
      <c r="O3" s="91"/>
      <c r="P3" s="91"/>
      <c r="Q3" s="91"/>
      <c r="R3" s="91"/>
      <c r="S3" s="91"/>
      <c r="T3" s="91"/>
      <c r="U3" s="4"/>
      <c r="V3" s="4"/>
      <c r="W3" s="4"/>
    </row>
    <row r="4" spans="1:39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91"/>
      <c r="L4" s="91"/>
      <c r="M4" s="91"/>
      <c r="N4" s="91"/>
      <c r="O4" s="91"/>
      <c r="P4" s="91"/>
      <c r="Q4" s="91"/>
      <c r="R4" s="91"/>
      <c r="S4" s="91"/>
      <c r="T4" s="91"/>
      <c r="U4" s="4"/>
      <c r="V4" s="4"/>
      <c r="W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91"/>
      <c r="L5" s="91"/>
      <c r="M5" s="91"/>
      <c r="N5" s="91"/>
      <c r="O5" s="91"/>
      <c r="P5" s="91"/>
      <c r="Q5" s="91"/>
      <c r="R5" s="91"/>
      <c r="S5" s="91"/>
      <c r="T5" s="91"/>
      <c r="U5" s="4"/>
    </row>
    <row r="7" spans="1:39" x14ac:dyDescent="0.25">
      <c r="C7" s="16" t="s">
        <v>17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39" x14ac:dyDescent="0.25">
      <c r="A8" s="64" t="s">
        <v>49</v>
      </c>
      <c r="C8" s="101">
        <v>2018</v>
      </c>
      <c r="E8" s="8">
        <f>C8+1</f>
        <v>2019</v>
      </c>
      <c r="G8" s="8">
        <f>E8+1</f>
        <v>2020</v>
      </c>
      <c r="I8" s="8">
        <f>G8+1</f>
        <v>2021</v>
      </c>
      <c r="K8" s="133">
        <f>I8+1</f>
        <v>2022</v>
      </c>
      <c r="M8" s="133">
        <f>K8+1</f>
        <v>2023</v>
      </c>
      <c r="O8" s="133">
        <f>M8+1</f>
        <v>2024</v>
      </c>
      <c r="Q8" s="133">
        <f>O8+1</f>
        <v>2025</v>
      </c>
      <c r="S8" s="133">
        <f>Q8+1</f>
        <v>2026</v>
      </c>
      <c r="U8" s="8">
        <f>S8+1</f>
        <v>2027</v>
      </c>
      <c r="W8" s="8" t="s">
        <v>1</v>
      </c>
    </row>
    <row r="9" spans="1:39" x14ac:dyDescent="0.25">
      <c r="A9" s="96"/>
    </row>
    <row r="10" spans="1:39" x14ac:dyDescent="0.25">
      <c r="A10" s="245" t="s">
        <v>135</v>
      </c>
      <c r="C10" s="142"/>
      <c r="D10" s="142"/>
      <c r="E10" s="142"/>
      <c r="F10" s="142"/>
      <c r="G10" s="142">
        <v>50000</v>
      </c>
      <c r="H10" s="142"/>
      <c r="I10" s="142"/>
      <c r="J10" s="142"/>
      <c r="K10" s="142">
        <v>100000</v>
      </c>
      <c r="L10" s="142"/>
      <c r="M10" s="142">
        <v>125000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>
        <f>SUM(C10:V10)</f>
        <v>275000</v>
      </c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</row>
    <row r="11" spans="1:39" x14ac:dyDescent="0.25">
      <c r="A11" s="156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134"/>
      <c r="W11" s="255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</row>
    <row r="12" spans="1:39" ht="63" x14ac:dyDescent="0.25">
      <c r="A12" s="245" t="s">
        <v>134</v>
      </c>
      <c r="C12" s="255">
        <v>10000</v>
      </c>
      <c r="D12" s="255"/>
      <c r="E12" s="255">
        <f>C12</f>
        <v>10000</v>
      </c>
      <c r="F12" s="255"/>
      <c r="G12" s="255">
        <f>E12</f>
        <v>10000</v>
      </c>
      <c r="H12" s="255"/>
      <c r="I12" s="255">
        <f>G12</f>
        <v>10000</v>
      </c>
      <c r="J12" s="255"/>
      <c r="K12" s="255">
        <f>I12</f>
        <v>10000</v>
      </c>
      <c r="L12" s="255"/>
      <c r="M12" s="255">
        <f>K12</f>
        <v>10000</v>
      </c>
      <c r="N12" s="255"/>
      <c r="O12" s="255">
        <f>M12</f>
        <v>10000</v>
      </c>
      <c r="P12" s="255"/>
      <c r="Q12" s="255">
        <f>O12</f>
        <v>10000</v>
      </c>
      <c r="R12" s="255"/>
      <c r="S12" s="255">
        <f>Q12</f>
        <v>10000</v>
      </c>
      <c r="T12" s="255"/>
      <c r="U12" s="255">
        <f>S12</f>
        <v>10000</v>
      </c>
      <c r="V12" s="134"/>
      <c r="W12" s="255">
        <f>SUM(C12:V12)</f>
        <v>100000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</row>
    <row r="13" spans="1:39" x14ac:dyDescent="0.25">
      <c r="A13" s="109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134"/>
      <c r="W13" s="255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</row>
    <row r="14" spans="1:39" x14ac:dyDescent="0.25">
      <c r="A14" s="109" t="s">
        <v>133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>
        <v>100000</v>
      </c>
      <c r="N14" s="255"/>
      <c r="O14" s="255"/>
      <c r="P14" s="255"/>
      <c r="Q14" s="255"/>
      <c r="R14" s="255"/>
      <c r="S14" s="255"/>
      <c r="T14" s="255"/>
      <c r="U14" s="255"/>
      <c r="V14" s="134"/>
      <c r="W14" s="255">
        <f t="shared" ref="W14:W28" si="0">SUM(C14:V14)</f>
        <v>100000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x14ac:dyDescent="0.25">
      <c r="A15" s="109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255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</row>
    <row r="16" spans="1:39" x14ac:dyDescent="0.25">
      <c r="A16" s="109" t="s">
        <v>132</v>
      </c>
      <c r="C16" s="255">
        <v>25000</v>
      </c>
      <c r="D16" s="255"/>
      <c r="E16" s="255"/>
      <c r="F16" s="255"/>
      <c r="G16" s="255"/>
      <c r="H16" s="255"/>
      <c r="I16" s="255">
        <v>100000</v>
      </c>
      <c r="J16" s="255"/>
      <c r="K16" s="255"/>
      <c r="L16" s="255"/>
      <c r="M16" s="255"/>
      <c r="N16" s="255"/>
      <c r="O16" s="255">
        <v>50000</v>
      </c>
      <c r="P16" s="255"/>
      <c r="Q16" s="255"/>
      <c r="R16" s="255"/>
      <c r="S16" s="255"/>
      <c r="T16" s="255"/>
      <c r="U16" s="255">
        <v>225000</v>
      </c>
      <c r="V16" s="134"/>
      <c r="W16" s="255">
        <f t="shared" si="0"/>
        <v>400000</v>
      </c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x14ac:dyDescent="0.25">
      <c r="A17" s="109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134"/>
      <c r="W17" s="255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</row>
    <row r="18" spans="1:39" ht="31.5" x14ac:dyDescent="0.25">
      <c r="A18" s="245" t="s">
        <v>131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>
        <v>1000000</v>
      </c>
      <c r="T18" s="255"/>
      <c r="U18" s="255">
        <v>1000000</v>
      </c>
      <c r="V18" s="134"/>
      <c r="W18" s="255">
        <f t="shared" si="0"/>
        <v>2000000</v>
      </c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</row>
    <row r="19" spans="1:39" x14ac:dyDescent="0.25">
      <c r="A19" s="109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134"/>
      <c r="W19" s="255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ht="31.5" x14ac:dyDescent="0.25">
      <c r="A20" s="245" t="s">
        <v>130</v>
      </c>
      <c r="C20" s="134"/>
      <c r="D20" s="134"/>
      <c r="E20" s="134"/>
      <c r="F20" s="134"/>
      <c r="G20" s="134"/>
      <c r="H20" s="134"/>
      <c r="I20" s="134"/>
      <c r="J20" s="134"/>
      <c r="K20" s="134">
        <v>500000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255">
        <f t="shared" si="0"/>
        <v>500000</v>
      </c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x14ac:dyDescent="0.25">
      <c r="A21" s="109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134"/>
      <c r="W21" s="255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x14ac:dyDescent="0.25">
      <c r="A22" s="109" t="s">
        <v>129</v>
      </c>
      <c r="C22" s="255">
        <v>7500</v>
      </c>
      <c r="D22" s="255"/>
      <c r="E22" s="255">
        <f>C22</f>
        <v>7500</v>
      </c>
      <c r="F22" s="255"/>
      <c r="G22" s="255">
        <f>E22</f>
        <v>7500</v>
      </c>
      <c r="H22" s="255"/>
      <c r="I22" s="255">
        <f>G22</f>
        <v>7500</v>
      </c>
      <c r="J22" s="255"/>
      <c r="K22" s="255">
        <f>I22</f>
        <v>7500</v>
      </c>
      <c r="L22" s="255"/>
      <c r="M22" s="255">
        <f>K22</f>
        <v>7500</v>
      </c>
      <c r="N22" s="255"/>
      <c r="O22" s="255">
        <f>M22</f>
        <v>7500</v>
      </c>
      <c r="P22" s="255"/>
      <c r="Q22" s="255">
        <f>O22</f>
        <v>7500</v>
      </c>
      <c r="R22" s="255"/>
      <c r="S22" s="255">
        <f>Q22</f>
        <v>7500</v>
      </c>
      <c r="T22" s="255"/>
      <c r="U22" s="255">
        <f>S22</f>
        <v>7500</v>
      </c>
      <c r="V22" s="134"/>
      <c r="W22" s="255">
        <f t="shared" si="0"/>
        <v>75000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</row>
    <row r="23" spans="1:39" x14ac:dyDescent="0.25">
      <c r="A23" s="109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134"/>
      <c r="W23" s="255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x14ac:dyDescent="0.25">
      <c r="A24" s="109" t="s">
        <v>128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>
        <v>300000</v>
      </c>
      <c r="N24" s="255"/>
      <c r="O24" s="255"/>
      <c r="P24" s="255"/>
      <c r="Q24" s="255"/>
      <c r="R24" s="255"/>
      <c r="S24" s="255"/>
      <c r="T24" s="255"/>
      <c r="U24" s="255"/>
      <c r="V24" s="134"/>
      <c r="W24" s="255">
        <f t="shared" si="0"/>
        <v>300000</v>
      </c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x14ac:dyDescent="0.25">
      <c r="A25" s="109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255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ht="31.5" x14ac:dyDescent="0.25">
      <c r="A26" s="245" t="s">
        <v>127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134"/>
      <c r="W26" s="255">
        <f t="shared" si="0"/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x14ac:dyDescent="0.25">
      <c r="A27" s="10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55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96" customFormat="1" x14ac:dyDescent="0.25">
      <c r="A28" s="109" t="s">
        <v>126</v>
      </c>
      <c r="C28" s="43">
        <v>50000</v>
      </c>
      <c r="D28" s="134"/>
      <c r="E28" s="255">
        <f>C28</f>
        <v>50000</v>
      </c>
      <c r="F28" s="255"/>
      <c r="G28" s="255">
        <f>E28</f>
        <v>50000</v>
      </c>
      <c r="H28" s="255"/>
      <c r="I28" s="255">
        <f>G28</f>
        <v>50000</v>
      </c>
      <c r="J28" s="255"/>
      <c r="K28" s="255">
        <f>I28</f>
        <v>50000</v>
      </c>
      <c r="L28" s="255"/>
      <c r="M28" s="255">
        <f>K28</f>
        <v>50000</v>
      </c>
      <c r="N28" s="255"/>
      <c r="O28" s="255">
        <f>M28</f>
        <v>50000</v>
      </c>
      <c r="P28" s="255"/>
      <c r="Q28" s="255">
        <f>O28</f>
        <v>50000</v>
      </c>
      <c r="R28" s="255"/>
      <c r="S28" s="255">
        <f>Q28</f>
        <v>50000</v>
      </c>
      <c r="T28" s="255"/>
      <c r="U28" s="255">
        <f>S28</f>
        <v>50000</v>
      </c>
      <c r="V28" s="134"/>
      <c r="W28" s="255">
        <f t="shared" si="0"/>
        <v>500000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96" customFormat="1" x14ac:dyDescent="0.25">
      <c r="A29" s="109"/>
      <c r="C29" s="137"/>
      <c r="D29" s="134"/>
      <c r="E29" s="137"/>
      <c r="F29" s="134"/>
      <c r="G29" s="137"/>
      <c r="H29" s="134"/>
      <c r="I29" s="137"/>
      <c r="J29" s="134"/>
      <c r="K29" s="137"/>
      <c r="L29" s="134"/>
      <c r="M29" s="137"/>
      <c r="N29" s="134"/>
      <c r="O29" s="137"/>
      <c r="P29" s="134"/>
      <c r="Q29" s="137"/>
      <c r="R29" s="134"/>
      <c r="S29" s="137"/>
      <c r="T29" s="134"/>
      <c r="U29" s="137"/>
      <c r="V29" s="134"/>
      <c r="W29" s="137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x14ac:dyDescent="0.25">
      <c r="A30" s="109" t="s">
        <v>123</v>
      </c>
      <c r="C30" s="255">
        <f>SUM(C10:C29)</f>
        <v>92500</v>
      </c>
      <c r="D30" s="255"/>
      <c r="E30" s="255">
        <f>SUM(E10:E29)</f>
        <v>67500</v>
      </c>
      <c r="F30" s="255"/>
      <c r="G30" s="255">
        <f>SUM(G10:G29)</f>
        <v>117500</v>
      </c>
      <c r="H30" s="255"/>
      <c r="I30" s="255">
        <f>SUM(I10:I29)</f>
        <v>167500</v>
      </c>
      <c r="J30" s="255"/>
      <c r="K30" s="255">
        <f>SUM(K10:K29)</f>
        <v>667500</v>
      </c>
      <c r="L30" s="255"/>
      <c r="M30" s="255">
        <f>SUM(M10:M29)</f>
        <v>592500</v>
      </c>
      <c r="N30" s="255"/>
      <c r="O30" s="255">
        <f>SUM(O10:O29)</f>
        <v>117500</v>
      </c>
      <c r="P30" s="255"/>
      <c r="Q30" s="255">
        <f>SUM(Q10:Q29)</f>
        <v>67500</v>
      </c>
      <c r="R30" s="255"/>
      <c r="S30" s="255">
        <f>SUM(S10:S29)</f>
        <v>1067500</v>
      </c>
      <c r="T30" s="255"/>
      <c r="U30" s="255">
        <f>SUM(U10:U29)</f>
        <v>1292500</v>
      </c>
      <c r="V30" s="134"/>
      <c r="W30" s="255">
        <f>SUM(W10:W29)</f>
        <v>4250000</v>
      </c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x14ac:dyDescent="0.25">
      <c r="A31" s="109" t="s">
        <v>125</v>
      </c>
      <c r="C31" s="134"/>
      <c r="D31" s="134"/>
      <c r="E31" s="134"/>
      <c r="F31" s="134"/>
      <c r="G31" s="134"/>
      <c r="H31" s="134"/>
      <c r="I31" s="134"/>
      <c r="J31" s="134"/>
      <c r="K31" s="134">
        <v>-550000</v>
      </c>
      <c r="L31" s="134"/>
      <c r="M31" s="134">
        <v>-475000</v>
      </c>
      <c r="N31" s="134"/>
      <c r="O31" s="134"/>
      <c r="P31" s="134"/>
      <c r="Q31" s="134"/>
      <c r="R31" s="134"/>
      <c r="S31" s="134">
        <v>-1000000</v>
      </c>
      <c r="T31" s="134"/>
      <c r="U31" s="134">
        <v>-1200000</v>
      </c>
      <c r="V31" s="134"/>
      <c r="W31" s="134">
        <f>SUM(C31:V31)</f>
        <v>-3225000</v>
      </c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96" customFormat="1" x14ac:dyDescent="0.25">
      <c r="A32" s="109"/>
      <c r="C32" s="137"/>
      <c r="D32" s="134"/>
      <c r="E32" s="137"/>
      <c r="F32" s="134"/>
      <c r="G32" s="137"/>
      <c r="H32" s="134"/>
      <c r="I32" s="137"/>
      <c r="J32" s="134"/>
      <c r="K32" s="137"/>
      <c r="L32" s="134"/>
      <c r="M32" s="137"/>
      <c r="N32" s="134"/>
      <c r="O32" s="137"/>
      <c r="P32" s="134"/>
      <c r="Q32" s="137"/>
      <c r="R32" s="134"/>
      <c r="S32" s="137"/>
      <c r="T32" s="134"/>
      <c r="U32" s="137"/>
      <c r="V32" s="134"/>
      <c r="W32" s="137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ht="16.5" thickBot="1" x14ac:dyDescent="0.3">
      <c r="A33" s="109" t="s">
        <v>124</v>
      </c>
      <c r="C33" s="29">
        <f>SUM(C30:C32)</f>
        <v>92500</v>
      </c>
      <c r="D33" s="142"/>
      <c r="E33" s="29">
        <f>SUM(E30:E32)</f>
        <v>67500</v>
      </c>
      <c r="F33" s="142"/>
      <c r="G33" s="29">
        <f>SUM(G30:G32)</f>
        <v>117500</v>
      </c>
      <c r="H33" s="142"/>
      <c r="I33" s="29">
        <f>SUM(I30:I32)</f>
        <v>167500</v>
      </c>
      <c r="J33" s="142"/>
      <c r="K33" s="29">
        <f>SUM(K30:K32)</f>
        <v>117500</v>
      </c>
      <c r="L33" s="142"/>
      <c r="M33" s="29">
        <f>SUM(M30:M32)</f>
        <v>117500</v>
      </c>
      <c r="N33" s="142"/>
      <c r="O33" s="29">
        <f>SUM(O30:O32)</f>
        <v>117500</v>
      </c>
      <c r="P33" s="142"/>
      <c r="Q33" s="29">
        <f>SUM(Q30:Q32)</f>
        <v>67500</v>
      </c>
      <c r="R33" s="142"/>
      <c r="S33" s="29">
        <f>SUM(S30:S32)</f>
        <v>67500</v>
      </c>
      <c r="T33" s="142"/>
      <c r="U33" s="29">
        <f>SUM(U30:U32)</f>
        <v>92500</v>
      </c>
      <c r="V33" s="142"/>
      <c r="W33" s="29">
        <f>SUM(W30:W32)</f>
        <v>1025000</v>
      </c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ht="16.5" thickTop="1" x14ac:dyDescent="0.25"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x14ac:dyDescent="0.25">
      <c r="A35" s="48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6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x14ac:dyDescent="0.25">
      <c r="A36" s="259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1:39" x14ac:dyDescent="0.25"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x14ac:dyDescent="0.25">
      <c r="A38" s="1" t="s">
        <v>136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x14ac:dyDescent="0.25"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x14ac:dyDescent="0.25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x14ac:dyDescent="0.25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x14ac:dyDescent="0.25">
      <c r="A42" s="4"/>
      <c r="B42" s="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x14ac:dyDescent="0.25">
      <c r="A43" s="4"/>
      <c r="B43" s="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x14ac:dyDescent="0.25">
      <c r="A44" s="4"/>
      <c r="B44" s="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x14ac:dyDescent="0.25">
      <c r="A45" s="4"/>
      <c r="B45" s="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x14ac:dyDescent="0.25">
      <c r="A46" s="4">
        <v>1</v>
      </c>
      <c r="B46" s="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</sheetData>
  <phoneticPr fontId="0" type="noConversion"/>
  <printOptions horizontalCentered="1"/>
  <pageMargins left="0.25" right="0.25" top="0.75" bottom="0.75" header="0.3" footer="0.3"/>
  <pageSetup scale="65" orientation="landscape" horizontalDpi="4294967295" verticalDpi="4294967295" r:id="rId1"/>
  <headerFooter scaleWithDoc="0"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opLeftCell="A22" zoomScaleNormal="100" zoomScaleSheetLayoutView="70" workbookViewId="0">
      <selection activeCell="A39" sqref="A39"/>
    </sheetView>
  </sheetViews>
  <sheetFormatPr defaultColWidth="8.85546875" defaultRowHeight="15.75" x14ac:dyDescent="0.25"/>
  <cols>
    <col min="1" max="1" width="3.7109375" style="159" customWidth="1"/>
    <col min="2" max="2" width="2.7109375" style="159" customWidth="1"/>
    <col min="3" max="3" width="40.140625" style="159" customWidth="1"/>
    <col min="4" max="4" width="15.7109375" style="159" customWidth="1"/>
    <col min="5" max="5" width="2.7109375" style="159" customWidth="1"/>
    <col min="6" max="6" width="15.7109375" style="159" customWidth="1"/>
    <col min="7" max="7" width="2.7109375" style="159" customWidth="1"/>
    <col min="8" max="8" width="15.7109375" style="159" customWidth="1"/>
    <col min="9" max="9" width="2.7109375" style="159" customWidth="1"/>
    <col min="10" max="10" width="15.7109375" style="159" customWidth="1"/>
    <col min="11" max="11" width="2.7109375" style="159" customWidth="1"/>
    <col min="12" max="12" width="15.7109375" style="159" customWidth="1"/>
    <col min="13" max="13" width="2.7109375" style="159" customWidth="1"/>
    <col min="14" max="14" width="15.7109375" style="159" customWidth="1"/>
    <col min="15" max="15" width="2.7109375" style="159" customWidth="1"/>
    <col min="16" max="16" width="15.7109375" style="159" customWidth="1"/>
    <col min="17" max="17" width="2.7109375" style="159" customWidth="1"/>
    <col min="18" max="18" width="15.7109375" style="159" customWidth="1"/>
    <col min="19" max="19" width="2.7109375" style="159" customWidth="1"/>
    <col min="20" max="20" width="15.7109375" style="159" customWidth="1"/>
    <col min="21" max="21" width="2.7109375" style="159" customWidth="1"/>
    <col min="22" max="23" width="15.7109375" style="159" customWidth="1"/>
    <col min="24" max="24" width="24.7109375" style="159" customWidth="1"/>
    <col min="25" max="25" width="9.5703125" style="159" customWidth="1"/>
    <col min="26" max="26" width="15.7109375" style="159" customWidth="1"/>
    <col min="27" max="16384" width="8.85546875" style="159"/>
  </cols>
  <sheetData>
    <row r="1" spans="1:22" x14ac:dyDescent="0.25">
      <c r="A1" s="157" t="str">
        <f>'Cap Plan P1'!A1</f>
        <v>ANYTOWN WATER UTILITY/SEWAGE WORKS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V2" s="271" t="s">
        <v>201</v>
      </c>
    </row>
    <row r="3" spans="1:22" x14ac:dyDescent="0.25">
      <c r="A3" s="280" t="s">
        <v>100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2" x14ac:dyDescent="0.25">
      <c r="A4" s="280" t="s">
        <v>101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1:22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207"/>
      <c r="U5" s="207"/>
      <c r="V5" s="207"/>
    </row>
    <row r="6" spans="1:22" x14ac:dyDescent="0.25">
      <c r="A6" s="207"/>
      <c r="B6" s="207"/>
      <c r="C6" s="207"/>
      <c r="D6" s="281" t="s">
        <v>115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</row>
    <row r="7" spans="1:22" ht="15" customHeight="1" x14ac:dyDescent="0.25">
      <c r="A7" s="209"/>
      <c r="B7" s="209"/>
      <c r="C7" s="209"/>
      <c r="D7" s="268">
        <v>2028</v>
      </c>
      <c r="E7" s="179"/>
      <c r="F7" s="268">
        <f>D7+1</f>
        <v>2029</v>
      </c>
      <c r="G7" s="179"/>
      <c r="H7" s="268">
        <f>F7+1</f>
        <v>2030</v>
      </c>
      <c r="I7" s="179"/>
      <c r="J7" s="268">
        <f>H7+1</f>
        <v>2031</v>
      </c>
      <c r="K7" s="179"/>
      <c r="L7" s="268">
        <f>J7+1</f>
        <v>2032</v>
      </c>
      <c r="M7" s="179"/>
      <c r="N7" s="268">
        <f>L7+1</f>
        <v>2033</v>
      </c>
      <c r="O7" s="179"/>
      <c r="P7" s="268">
        <f>N7+1</f>
        <v>2034</v>
      </c>
      <c r="Q7" s="179"/>
      <c r="R7" s="268">
        <f>P7+1</f>
        <v>2035</v>
      </c>
      <c r="S7" s="211"/>
      <c r="T7" s="268">
        <f>R7+1</f>
        <v>2036</v>
      </c>
      <c r="U7" s="179"/>
      <c r="V7" s="268">
        <f>T7+1</f>
        <v>2037</v>
      </c>
    </row>
    <row r="8" spans="1:22" x14ac:dyDescent="0.25">
      <c r="A8" s="179" t="s">
        <v>102</v>
      </c>
      <c r="B8" s="179"/>
      <c r="C8" s="179"/>
      <c r="D8" s="212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213"/>
      <c r="T8" s="179"/>
      <c r="U8" s="179"/>
      <c r="V8" s="179"/>
    </row>
    <row r="9" spans="1:22" ht="15.6" customHeight="1" x14ac:dyDescent="0.25">
      <c r="A9" s="179"/>
      <c r="B9" s="179" t="s">
        <v>116</v>
      </c>
      <c r="C9" s="179"/>
      <c r="D9" s="214"/>
      <c r="E9" s="179"/>
      <c r="F9" s="214"/>
      <c r="G9" s="179"/>
      <c r="H9" s="214"/>
      <c r="I9" s="179"/>
      <c r="J9" s="214"/>
      <c r="K9" s="179"/>
      <c r="L9" s="214"/>
      <c r="M9" s="179"/>
      <c r="N9" s="214"/>
      <c r="O9" s="179"/>
      <c r="P9" s="214"/>
      <c r="Q9" s="179"/>
      <c r="R9" s="214"/>
      <c r="S9" s="215"/>
      <c r="T9" s="214"/>
      <c r="U9" s="179"/>
      <c r="V9" s="214"/>
    </row>
    <row r="10" spans="1:22" ht="15.6" customHeight="1" x14ac:dyDescent="0.25">
      <c r="A10" s="179"/>
      <c r="B10" s="179"/>
      <c r="C10" s="179" t="s">
        <v>173</v>
      </c>
      <c r="D10" s="214">
        <f>'Cash Flow P1'!V10</f>
        <v>900000</v>
      </c>
      <c r="E10" s="179"/>
      <c r="F10" s="214">
        <f>D10</f>
        <v>900000</v>
      </c>
      <c r="G10" s="179"/>
      <c r="H10" s="214">
        <f>F10</f>
        <v>900000</v>
      </c>
      <c r="I10" s="179"/>
      <c r="J10" s="214">
        <f>H10</f>
        <v>900000</v>
      </c>
      <c r="K10" s="179"/>
      <c r="L10" s="214">
        <f>J10</f>
        <v>900000</v>
      </c>
      <c r="M10" s="179"/>
      <c r="N10" s="214">
        <f>L10</f>
        <v>900000</v>
      </c>
      <c r="O10" s="179"/>
      <c r="P10" s="214">
        <f>N10</f>
        <v>900000</v>
      </c>
      <c r="Q10" s="179"/>
      <c r="R10" s="214">
        <f>P10</f>
        <v>900000</v>
      </c>
      <c r="S10" s="215"/>
      <c r="T10" s="214">
        <f>R10</f>
        <v>900000</v>
      </c>
      <c r="U10" s="179"/>
      <c r="V10" s="214">
        <f>T10</f>
        <v>900000</v>
      </c>
    </row>
    <row r="11" spans="1:22" ht="15.6" customHeight="1" x14ac:dyDescent="0.25">
      <c r="A11" s="179"/>
      <c r="B11" s="179"/>
      <c r="C11" s="179" t="s">
        <v>174</v>
      </c>
      <c r="D11" s="216">
        <f>'Cash Flow P1'!V11</f>
        <v>100000</v>
      </c>
      <c r="E11" s="179"/>
      <c r="F11" s="216">
        <f>D11</f>
        <v>100000</v>
      </c>
      <c r="G11" s="179"/>
      <c r="H11" s="216">
        <f>F11</f>
        <v>100000</v>
      </c>
      <c r="I11" s="179"/>
      <c r="J11" s="216">
        <f>H11</f>
        <v>100000</v>
      </c>
      <c r="K11" s="179"/>
      <c r="L11" s="216">
        <f>J11</f>
        <v>100000</v>
      </c>
      <c r="M11" s="179"/>
      <c r="N11" s="216">
        <f>L11</f>
        <v>100000</v>
      </c>
      <c r="O11" s="179"/>
      <c r="P11" s="216">
        <f>N11</f>
        <v>100000</v>
      </c>
      <c r="Q11" s="179"/>
      <c r="R11" s="216">
        <f>P11</f>
        <v>100000</v>
      </c>
      <c r="S11" s="215"/>
      <c r="T11" s="216">
        <f>R11</f>
        <v>100000</v>
      </c>
      <c r="U11" s="179"/>
      <c r="V11" s="216">
        <f>T11</f>
        <v>100000</v>
      </c>
    </row>
    <row r="12" spans="1:22" ht="15.6" customHeight="1" x14ac:dyDescent="0.25">
      <c r="A12" s="179"/>
      <c r="B12" s="179"/>
      <c r="C12" s="179" t="s">
        <v>175</v>
      </c>
      <c r="D12" s="216">
        <f>'Cash Flow P1'!V12</f>
        <v>100000</v>
      </c>
      <c r="E12" s="179"/>
      <c r="F12" s="216">
        <f>D12</f>
        <v>100000</v>
      </c>
      <c r="G12" s="179"/>
      <c r="H12" s="216">
        <f>F12</f>
        <v>100000</v>
      </c>
      <c r="I12" s="179"/>
      <c r="J12" s="216">
        <f>H12</f>
        <v>100000</v>
      </c>
      <c r="K12" s="179"/>
      <c r="L12" s="216">
        <f>J12</f>
        <v>100000</v>
      </c>
      <c r="M12" s="179"/>
      <c r="N12" s="216">
        <f>L12</f>
        <v>100000</v>
      </c>
      <c r="O12" s="179"/>
      <c r="P12" s="216">
        <f>N12</f>
        <v>100000</v>
      </c>
      <c r="Q12" s="179"/>
      <c r="R12" s="216">
        <f>P12</f>
        <v>100000</v>
      </c>
      <c r="S12" s="215"/>
      <c r="T12" s="216">
        <f>R12</f>
        <v>100000</v>
      </c>
      <c r="U12" s="179"/>
      <c r="V12" s="216">
        <f>T12</f>
        <v>100000</v>
      </c>
    </row>
    <row r="13" spans="1:22" ht="15.6" customHeight="1" x14ac:dyDescent="0.25">
      <c r="A13" s="179"/>
      <c r="B13" s="179"/>
      <c r="C13" s="179" t="s">
        <v>176</v>
      </c>
      <c r="D13" s="216">
        <f>'Cash Flow P1'!V13</f>
        <v>50000</v>
      </c>
      <c r="E13" s="179"/>
      <c r="F13" s="216">
        <f>D13</f>
        <v>50000</v>
      </c>
      <c r="G13" s="179"/>
      <c r="H13" s="216">
        <f>F13</f>
        <v>50000</v>
      </c>
      <c r="I13" s="179"/>
      <c r="J13" s="216">
        <f>H13</f>
        <v>50000</v>
      </c>
      <c r="K13" s="179"/>
      <c r="L13" s="216">
        <f>J13</f>
        <v>50000</v>
      </c>
      <c r="M13" s="179"/>
      <c r="N13" s="216">
        <f>L13</f>
        <v>50000</v>
      </c>
      <c r="O13" s="179"/>
      <c r="P13" s="216">
        <f>N13</f>
        <v>50000</v>
      </c>
      <c r="Q13" s="179"/>
      <c r="R13" s="216">
        <f>P13</f>
        <v>50000</v>
      </c>
      <c r="S13" s="215"/>
      <c r="T13" s="216">
        <f>R13</f>
        <v>50000</v>
      </c>
      <c r="U13" s="179"/>
      <c r="V13" s="216">
        <f>T13</f>
        <v>50000</v>
      </c>
    </row>
    <row r="14" spans="1:22" ht="15.6" customHeight="1" x14ac:dyDescent="0.25">
      <c r="A14" s="179"/>
      <c r="B14" s="179" t="s">
        <v>177</v>
      </c>
      <c r="C14" s="179"/>
      <c r="D14" s="216">
        <f>'Cash Flow P1'!V14</f>
        <v>150000</v>
      </c>
      <c r="E14" s="216"/>
      <c r="F14" s="216">
        <f>D14</f>
        <v>150000</v>
      </c>
      <c r="G14" s="216"/>
      <c r="H14" s="216">
        <f>F14</f>
        <v>150000</v>
      </c>
      <c r="I14" s="216"/>
      <c r="J14" s="216">
        <f>H14</f>
        <v>150000</v>
      </c>
      <c r="K14" s="216"/>
      <c r="L14" s="216">
        <f>J14</f>
        <v>150000</v>
      </c>
      <c r="M14" s="216"/>
      <c r="N14" s="216">
        <f>L14</f>
        <v>150000</v>
      </c>
      <c r="O14" s="216"/>
      <c r="P14" s="216">
        <f>N14</f>
        <v>150000</v>
      </c>
      <c r="Q14" s="216"/>
      <c r="R14" s="216">
        <f>P14</f>
        <v>150000</v>
      </c>
      <c r="S14" s="216"/>
      <c r="T14" s="216">
        <f>R14</f>
        <v>150000</v>
      </c>
      <c r="U14" s="216"/>
      <c r="V14" s="216">
        <f>T14</f>
        <v>150000</v>
      </c>
    </row>
    <row r="15" spans="1:22" ht="15.6" customHeight="1" x14ac:dyDescent="0.25">
      <c r="A15" s="179"/>
      <c r="B15" s="179" t="s">
        <v>186</v>
      </c>
      <c r="C15" s="179"/>
      <c r="D15" s="216">
        <f>ROUND((SUM(D10:D14)*D44)*0.98,-2)+'Cash Flow P1'!V15</f>
        <v>688100</v>
      </c>
      <c r="E15" s="216"/>
      <c r="F15" s="216">
        <f>ROUND((SUM(F10:F14)*F44)*0.98,-2)+D15</f>
        <v>739100</v>
      </c>
      <c r="G15" s="216"/>
      <c r="H15" s="216">
        <f>ROUND((SUM(H10:H14)*H44)*0.98,-2)+F15</f>
        <v>790100</v>
      </c>
      <c r="I15" s="216"/>
      <c r="J15" s="216">
        <f>ROUND((SUM(J10:J14)*J44)*0.98,-2)+H15</f>
        <v>841100</v>
      </c>
      <c r="K15" s="216"/>
      <c r="L15" s="216">
        <f>ROUND((SUM(L10:L14)*L44)*0.98,-2)+J15</f>
        <v>892100</v>
      </c>
      <c r="M15" s="216"/>
      <c r="N15" s="216">
        <f>ROUND((SUM(N10:N14)*N44)*0.98,-2)+L15</f>
        <v>930300</v>
      </c>
      <c r="O15" s="216"/>
      <c r="P15" s="216">
        <f>ROUND((SUM(P10:P14)*P44)*0.98,-2)+N15</f>
        <v>930300</v>
      </c>
      <c r="Q15" s="216"/>
      <c r="R15" s="216">
        <f>ROUND((SUM(R10:R14)*R44)*0.98,-2)+P15</f>
        <v>930300</v>
      </c>
      <c r="S15" s="216"/>
      <c r="T15" s="216">
        <f>ROUND((SUM(T10:T14)*T44)*0.98,-2)+R15</f>
        <v>930300</v>
      </c>
      <c r="U15" s="216"/>
      <c r="V15" s="216">
        <f>ROUND((SUM(V10:V14)*V44)*0.98,-2)+T15</f>
        <v>930300</v>
      </c>
    </row>
    <row r="16" spans="1:22" ht="15.6" customHeight="1" x14ac:dyDescent="0.25">
      <c r="A16" s="179"/>
      <c r="B16" s="179" t="s">
        <v>187</v>
      </c>
      <c r="C16" s="179"/>
      <c r="D16" s="216">
        <f>'Cash Flow P1'!V16</f>
        <v>5000</v>
      </c>
      <c r="E16" s="216"/>
      <c r="F16" s="216">
        <f>D16</f>
        <v>5000</v>
      </c>
      <c r="G16" s="216"/>
      <c r="H16" s="216">
        <f>F16</f>
        <v>5000</v>
      </c>
      <c r="I16" s="216"/>
      <c r="J16" s="216">
        <f>H16</f>
        <v>5000</v>
      </c>
      <c r="K16" s="216"/>
      <c r="L16" s="216">
        <f>J16</f>
        <v>5000</v>
      </c>
      <c r="M16" s="216"/>
      <c r="N16" s="216">
        <f>L16</f>
        <v>5000</v>
      </c>
      <c r="O16" s="216"/>
      <c r="P16" s="216">
        <f>N16</f>
        <v>5000</v>
      </c>
      <c r="Q16" s="216"/>
      <c r="R16" s="216">
        <f>P16</f>
        <v>5000</v>
      </c>
      <c r="S16" s="216"/>
      <c r="T16" s="216">
        <f>R16</f>
        <v>5000</v>
      </c>
      <c r="U16" s="216"/>
      <c r="V16" s="216">
        <f>T16</f>
        <v>5000</v>
      </c>
    </row>
    <row r="17" spans="1:25" x14ac:dyDescent="0.25">
      <c r="A17" s="179"/>
      <c r="B17" s="179" t="s">
        <v>189</v>
      </c>
      <c r="C17" s="179"/>
      <c r="D17" s="216">
        <f>'Cash Flow P1'!V17</f>
        <v>50000</v>
      </c>
      <c r="E17" s="179"/>
      <c r="F17" s="216">
        <f>D17</f>
        <v>50000</v>
      </c>
      <c r="G17" s="179"/>
      <c r="H17" s="216">
        <f>F17</f>
        <v>50000</v>
      </c>
      <c r="I17" s="179"/>
      <c r="J17" s="216">
        <f>H17</f>
        <v>50000</v>
      </c>
      <c r="K17" s="179"/>
      <c r="L17" s="216">
        <f>J17</f>
        <v>50000</v>
      </c>
      <c r="M17" s="179"/>
      <c r="N17" s="216">
        <f>L17</f>
        <v>50000</v>
      </c>
      <c r="O17" s="179"/>
      <c r="P17" s="216">
        <f>N17</f>
        <v>50000</v>
      </c>
      <c r="Q17" s="179"/>
      <c r="R17" s="216">
        <f>P17</f>
        <v>50000</v>
      </c>
      <c r="S17" s="215"/>
      <c r="T17" s="216">
        <f>R17</f>
        <v>50000</v>
      </c>
      <c r="U17" s="179"/>
      <c r="V17" s="216">
        <f>T17</f>
        <v>50000</v>
      </c>
    </row>
    <row r="18" spans="1:25" x14ac:dyDescent="0.25">
      <c r="A18" s="179"/>
      <c r="B18" s="218"/>
      <c r="C18" s="179"/>
      <c r="D18" s="240"/>
      <c r="E18" s="217"/>
      <c r="F18" s="240"/>
      <c r="G18" s="217"/>
      <c r="H18" s="240"/>
      <c r="I18" s="179"/>
      <c r="J18" s="240"/>
      <c r="K18" s="179"/>
      <c r="L18" s="240"/>
      <c r="M18" s="179"/>
      <c r="N18" s="240"/>
      <c r="O18" s="179"/>
      <c r="P18" s="240"/>
      <c r="Q18" s="179"/>
      <c r="R18" s="240"/>
      <c r="S18" s="215"/>
      <c r="T18" s="240"/>
      <c r="U18" s="179"/>
      <c r="V18" s="240"/>
    </row>
    <row r="19" spans="1:25" x14ac:dyDescent="0.25">
      <c r="B19" s="218"/>
      <c r="C19" s="179" t="s">
        <v>103</v>
      </c>
      <c r="D19" s="219">
        <f>SUM(D9:D17)</f>
        <v>2043100</v>
      </c>
      <c r="E19" s="219"/>
      <c r="F19" s="219">
        <f>SUM(F9:F17)</f>
        <v>2094100</v>
      </c>
      <c r="G19" s="219"/>
      <c r="H19" s="219">
        <f>SUM(H9:H17)</f>
        <v>2145100</v>
      </c>
      <c r="I19" s="216"/>
      <c r="J19" s="219">
        <f>SUM(J9:J17)</f>
        <v>2196100</v>
      </c>
      <c r="K19" s="216"/>
      <c r="L19" s="219">
        <f>SUM(L9:L17)</f>
        <v>2247100</v>
      </c>
      <c r="M19" s="216"/>
      <c r="N19" s="219">
        <f>SUM(N9:N17)</f>
        <v>2285300</v>
      </c>
      <c r="O19" s="216"/>
      <c r="P19" s="219">
        <f>SUM(P9:P17)</f>
        <v>2285300</v>
      </c>
      <c r="Q19" s="216"/>
      <c r="R19" s="219">
        <f>SUM(R9:R17)</f>
        <v>2285300</v>
      </c>
      <c r="S19" s="220"/>
      <c r="T19" s="219">
        <f>SUM(T9:T17)</f>
        <v>2285300</v>
      </c>
      <c r="U19" s="216"/>
      <c r="V19" s="219">
        <f>SUM(V9:V17)</f>
        <v>2285300</v>
      </c>
    </row>
    <row r="20" spans="1:25" x14ac:dyDescent="0.25">
      <c r="A20" s="179"/>
      <c r="B20" s="218"/>
      <c r="C20" s="179"/>
      <c r="D20" s="214"/>
      <c r="E20" s="179"/>
      <c r="F20" s="214"/>
      <c r="G20" s="179"/>
      <c r="H20" s="214"/>
      <c r="I20" s="179"/>
      <c r="J20" s="214"/>
      <c r="K20" s="179"/>
      <c r="L20" s="214"/>
      <c r="M20" s="179"/>
      <c r="N20" s="214"/>
      <c r="O20" s="179"/>
      <c r="P20" s="214"/>
      <c r="Q20" s="179"/>
      <c r="R20" s="214"/>
      <c r="S20" s="215"/>
      <c r="T20" s="214"/>
      <c r="U20" s="179"/>
      <c r="V20" s="214"/>
    </row>
    <row r="21" spans="1:25" x14ac:dyDescent="0.25">
      <c r="A21" s="179" t="s">
        <v>191</v>
      </c>
      <c r="B21" s="218"/>
      <c r="C21" s="179"/>
      <c r="D21" s="221">
        <f>ROUND('Cash Flow P1'!V21*(1+'Cash Flow P1'!Y21),-2)</f>
        <v>1387800</v>
      </c>
      <c r="E21" s="179"/>
      <c r="F21" s="221">
        <f>ROUND(D21*(1+$Y21),-2)</f>
        <v>1429400</v>
      </c>
      <c r="G21" s="221"/>
      <c r="H21" s="221">
        <f>ROUND(F21*(1+$Y21),-2)</f>
        <v>1472300</v>
      </c>
      <c r="I21" s="221"/>
      <c r="J21" s="221">
        <f>ROUND(H21*(1+$Y21),-2)</f>
        <v>1516500</v>
      </c>
      <c r="K21" s="221"/>
      <c r="L21" s="221">
        <f>ROUND(J21*(1+$Y21),-2)</f>
        <v>1562000</v>
      </c>
      <c r="M21" s="221"/>
      <c r="N21" s="221">
        <f>ROUND(L21*(1+$Y21),-2)</f>
        <v>1608900</v>
      </c>
      <c r="O21" s="221"/>
      <c r="P21" s="221">
        <f>ROUND(N21*(1+$Y21),-2)</f>
        <v>1657200</v>
      </c>
      <c r="Q21" s="221"/>
      <c r="R21" s="221">
        <f>ROUND(P21*(1+$Y21),-2)</f>
        <v>1706900</v>
      </c>
      <c r="S21" s="221"/>
      <c r="T21" s="221">
        <f>ROUND(R21*(1+$Y21),-2)</f>
        <v>1758100</v>
      </c>
      <c r="U21" s="221"/>
      <c r="V21" s="221">
        <f>ROUND(T21*(1+$Y21),-2)</f>
        <v>1810800</v>
      </c>
      <c r="X21" s="159" t="s">
        <v>160</v>
      </c>
      <c r="Y21" s="247">
        <f>'Cash Flow P1'!Y21</f>
        <v>0.03</v>
      </c>
    </row>
    <row r="22" spans="1:25" x14ac:dyDescent="0.25">
      <c r="A22" s="179"/>
      <c r="B22" s="218"/>
      <c r="C22" s="179"/>
      <c r="D22" s="223"/>
      <c r="E22" s="179"/>
      <c r="F22" s="223"/>
      <c r="G22" s="179"/>
      <c r="H22" s="223"/>
      <c r="I22" s="179"/>
      <c r="J22" s="223"/>
      <c r="K22" s="179"/>
      <c r="L22" s="223"/>
      <c r="M22" s="179"/>
      <c r="N22" s="223"/>
      <c r="O22" s="179"/>
      <c r="P22" s="223"/>
      <c r="Q22" s="179"/>
      <c r="R22" s="223"/>
      <c r="S22" s="222"/>
      <c r="T22" s="223"/>
      <c r="U22" s="179"/>
      <c r="V22" s="223"/>
    </row>
    <row r="23" spans="1:25" x14ac:dyDescent="0.25">
      <c r="A23" s="179" t="s">
        <v>104</v>
      </c>
      <c r="B23" s="179"/>
      <c r="C23" s="179"/>
      <c r="D23" s="224">
        <f>D19-D21</f>
        <v>655300</v>
      </c>
      <c r="E23" s="170"/>
      <c r="F23" s="224">
        <f>F19-F21</f>
        <v>664700</v>
      </c>
      <c r="G23" s="170"/>
      <c r="H23" s="224">
        <f>H19-H21</f>
        <v>672800</v>
      </c>
      <c r="I23" s="170"/>
      <c r="J23" s="224">
        <f>J19-J21</f>
        <v>679600</v>
      </c>
      <c r="K23" s="170"/>
      <c r="L23" s="224">
        <f>L19-L21</f>
        <v>685100</v>
      </c>
      <c r="M23" s="170"/>
      <c r="N23" s="224">
        <f>N19-N21</f>
        <v>676400</v>
      </c>
      <c r="O23" s="170"/>
      <c r="P23" s="224">
        <f>P19-P21</f>
        <v>628100</v>
      </c>
      <c r="Q23" s="170"/>
      <c r="R23" s="224">
        <f>R19-R21</f>
        <v>578400</v>
      </c>
      <c r="S23" s="225"/>
      <c r="T23" s="224">
        <f>T19-T21</f>
        <v>527200</v>
      </c>
      <c r="U23" s="170"/>
      <c r="V23" s="224">
        <f>V19-V21</f>
        <v>474500</v>
      </c>
    </row>
    <row r="24" spans="1:25" x14ac:dyDescent="0.25">
      <c r="A24" s="179"/>
      <c r="B24" s="179"/>
      <c r="C24" s="179"/>
      <c r="D24" s="225"/>
      <c r="E24" s="170"/>
      <c r="F24" s="225"/>
      <c r="G24" s="170"/>
      <c r="H24" s="225"/>
      <c r="I24" s="170"/>
      <c r="J24" s="225"/>
      <c r="K24" s="170"/>
      <c r="L24" s="225"/>
      <c r="M24" s="170"/>
      <c r="N24" s="225"/>
      <c r="O24" s="170"/>
      <c r="P24" s="225"/>
      <c r="Q24" s="170"/>
      <c r="R24" s="225"/>
      <c r="S24" s="225"/>
      <c r="T24" s="225"/>
      <c r="U24" s="170"/>
      <c r="V24" s="225"/>
    </row>
    <row r="25" spans="1:25" x14ac:dyDescent="0.25">
      <c r="A25" s="179" t="s">
        <v>105</v>
      </c>
      <c r="B25" s="179"/>
      <c r="C25" s="179"/>
      <c r="D25" s="170"/>
      <c r="E25" s="170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</row>
    <row r="26" spans="1:25" x14ac:dyDescent="0.25">
      <c r="A26" s="179"/>
      <c r="B26" s="179" t="s">
        <v>106</v>
      </c>
      <c r="C26" s="179"/>
      <c r="D26" s="222">
        <v>1000</v>
      </c>
      <c r="E26" s="213"/>
      <c r="F26" s="222">
        <f>D26</f>
        <v>1000</v>
      </c>
      <c r="G26" s="213"/>
      <c r="H26" s="222">
        <f>F26</f>
        <v>1000</v>
      </c>
      <c r="I26" s="213"/>
      <c r="J26" s="222">
        <f>H26</f>
        <v>1000</v>
      </c>
      <c r="K26" s="213"/>
      <c r="L26" s="222">
        <f>J26</f>
        <v>1000</v>
      </c>
      <c r="M26" s="213"/>
      <c r="N26" s="222">
        <f>L26</f>
        <v>1000</v>
      </c>
      <c r="O26" s="213"/>
      <c r="P26" s="222">
        <f>N26</f>
        <v>1000</v>
      </c>
      <c r="Q26" s="213"/>
      <c r="R26" s="222">
        <f>P26</f>
        <v>1000</v>
      </c>
      <c r="S26" s="222"/>
      <c r="T26" s="222">
        <f>R26</f>
        <v>1000</v>
      </c>
      <c r="U26" s="213"/>
      <c r="V26" s="222">
        <f>T26</f>
        <v>1000</v>
      </c>
    </row>
    <row r="27" spans="1:25" x14ac:dyDescent="0.25">
      <c r="A27" s="179"/>
      <c r="B27" s="179" t="s">
        <v>192</v>
      </c>
      <c r="C27" s="179"/>
      <c r="D27" s="222">
        <v>1500</v>
      </c>
      <c r="E27" s="213"/>
      <c r="F27" s="222">
        <f>D27</f>
        <v>1500</v>
      </c>
      <c r="G27" s="213"/>
      <c r="H27" s="222">
        <f>F27</f>
        <v>1500</v>
      </c>
      <c r="I27" s="213"/>
      <c r="J27" s="222">
        <f>H27</f>
        <v>1500</v>
      </c>
      <c r="K27" s="213"/>
      <c r="L27" s="222">
        <f>J27</f>
        <v>1500</v>
      </c>
      <c r="M27" s="213"/>
      <c r="N27" s="222">
        <f>L27</f>
        <v>1500</v>
      </c>
      <c r="O27" s="213"/>
      <c r="P27" s="222">
        <f>N27</f>
        <v>1500</v>
      </c>
      <c r="Q27" s="213"/>
      <c r="R27" s="222">
        <f>P27</f>
        <v>1500</v>
      </c>
      <c r="S27" s="222"/>
      <c r="T27" s="222">
        <f>R27</f>
        <v>1500</v>
      </c>
      <c r="U27" s="213"/>
      <c r="V27" s="222">
        <f>T27</f>
        <v>1500</v>
      </c>
    </row>
    <row r="28" spans="1:25" x14ac:dyDescent="0.25">
      <c r="A28" s="179"/>
      <c r="B28" s="179"/>
      <c r="C28" s="179"/>
      <c r="D28" s="227"/>
      <c r="E28" s="179"/>
      <c r="F28" s="227"/>
      <c r="G28" s="179"/>
      <c r="H28" s="227"/>
      <c r="I28" s="179"/>
      <c r="J28" s="227"/>
      <c r="K28" s="179"/>
      <c r="L28" s="227"/>
      <c r="M28" s="179"/>
      <c r="N28" s="227"/>
      <c r="O28" s="179"/>
      <c r="P28" s="227"/>
      <c r="Q28" s="179"/>
      <c r="R28" s="227"/>
      <c r="S28" s="213"/>
      <c r="T28" s="227"/>
      <c r="U28" s="179"/>
      <c r="V28" s="227"/>
    </row>
    <row r="29" spans="1:25" x14ac:dyDescent="0.25">
      <c r="A29" s="179"/>
      <c r="B29" s="179"/>
      <c r="C29" s="179" t="s">
        <v>107</v>
      </c>
      <c r="D29" s="221">
        <f>SUM(D26:D27)</f>
        <v>2500</v>
      </c>
      <c r="E29" s="179"/>
      <c r="F29" s="221">
        <f>SUM(F26:F27)</f>
        <v>2500</v>
      </c>
      <c r="G29" s="179"/>
      <c r="H29" s="221">
        <f>SUM(H26:H27)</f>
        <v>2500</v>
      </c>
      <c r="I29" s="179"/>
      <c r="J29" s="221">
        <f>SUM(J26:J27)</f>
        <v>2500</v>
      </c>
      <c r="K29" s="179"/>
      <c r="L29" s="221">
        <f>SUM(L26:L27)</f>
        <v>2500</v>
      </c>
      <c r="M29" s="179"/>
      <c r="N29" s="221">
        <f>SUM(N26:N27)</f>
        <v>2500</v>
      </c>
      <c r="O29" s="179"/>
      <c r="P29" s="221">
        <f>SUM(P26:P27)</f>
        <v>2500</v>
      </c>
      <c r="Q29" s="179"/>
      <c r="R29" s="221">
        <f>SUM(R26:R27)</f>
        <v>2500</v>
      </c>
      <c r="S29" s="213"/>
      <c r="T29" s="221">
        <f>SUM(T26:T27)</f>
        <v>2500</v>
      </c>
      <c r="U29" s="179"/>
      <c r="V29" s="221">
        <f>SUM(V26:V27)</f>
        <v>2500</v>
      </c>
    </row>
    <row r="30" spans="1:25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213"/>
      <c r="T30" s="179"/>
      <c r="U30" s="179"/>
      <c r="V30" s="179"/>
    </row>
    <row r="31" spans="1:25" x14ac:dyDescent="0.25">
      <c r="A31" s="179" t="s">
        <v>108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213"/>
      <c r="T31" s="179"/>
      <c r="U31" s="179"/>
      <c r="V31" s="179"/>
    </row>
    <row r="32" spans="1:25" x14ac:dyDescent="0.25">
      <c r="A32" s="179"/>
      <c r="B32" s="218" t="s">
        <v>193</v>
      </c>
      <c r="C32" s="179"/>
      <c r="D32" s="223">
        <f>ROUND('Comb. Amortization'!K29,-2)</f>
        <v>498200</v>
      </c>
      <c r="E32" s="179"/>
      <c r="F32" s="223">
        <f>ROUND('Comb. Amortization'!K31,-2)</f>
        <v>496800</v>
      </c>
      <c r="G32" s="179"/>
      <c r="H32" s="223">
        <f>ROUND('Comb. Amortization'!K33,-2)</f>
        <v>499900</v>
      </c>
      <c r="I32" s="179"/>
      <c r="J32" s="223">
        <f>ROUND('Comb. Amortization'!K35,-2)</f>
        <v>492600</v>
      </c>
      <c r="K32" s="179"/>
      <c r="L32" s="223">
        <f>ROUND('Comb. Amortization'!K37,-2)</f>
        <v>494900</v>
      </c>
      <c r="M32" s="179"/>
      <c r="N32" s="223">
        <f>ROUND('Comb. Amortization'!K39,-2)</f>
        <v>501800</v>
      </c>
      <c r="O32" s="179"/>
      <c r="P32" s="223">
        <f>ROUND('Comb. Amortization'!K41,-2)</f>
        <v>269500</v>
      </c>
      <c r="Q32" s="179"/>
      <c r="R32" s="223">
        <f>ROUND('Comb. Amortization'!K43,-2)</f>
        <v>262100</v>
      </c>
      <c r="S32" s="179"/>
      <c r="T32" s="223">
        <f>ROUND('Comb. Amortization'!K45,-2)</f>
        <v>264600</v>
      </c>
      <c r="U32" s="179"/>
      <c r="V32" s="223">
        <f>ROUND('Comb. Amortization'!K47,-2)</f>
        <v>261700</v>
      </c>
    </row>
    <row r="33" spans="1:22" x14ac:dyDescent="0.25">
      <c r="A33" s="179"/>
      <c r="B33" s="218" t="s">
        <v>109</v>
      </c>
      <c r="C33" s="179"/>
      <c r="D33" s="225">
        <f>ROUND('Proposed Bonds 2'!P11/5,-2)</f>
        <v>37100</v>
      </c>
      <c r="E33" s="213"/>
      <c r="F33" s="225">
        <f>D33</f>
        <v>37100</v>
      </c>
      <c r="G33" s="213"/>
      <c r="H33" s="225">
        <f>F33</f>
        <v>37100</v>
      </c>
      <c r="I33" s="213"/>
      <c r="J33" s="225">
        <f>ROUND(H33/2,-2)</f>
        <v>18600</v>
      </c>
      <c r="K33" s="213"/>
      <c r="L33" s="225"/>
      <c r="M33" s="213"/>
      <c r="N33" s="225"/>
      <c r="O33" s="213"/>
      <c r="P33" s="225"/>
      <c r="Q33" s="213"/>
      <c r="R33" s="225"/>
      <c r="S33" s="222"/>
      <c r="T33" s="225"/>
      <c r="U33" s="213"/>
      <c r="V33" s="225"/>
    </row>
    <row r="34" spans="1:22" x14ac:dyDescent="0.25">
      <c r="A34" s="179"/>
      <c r="B34" s="218" t="s">
        <v>194</v>
      </c>
      <c r="C34" s="179"/>
      <c r="D34" s="225">
        <v>25000</v>
      </c>
      <c r="E34" s="179"/>
      <c r="F34" s="225">
        <f>D34</f>
        <v>25000</v>
      </c>
      <c r="G34" s="179"/>
      <c r="H34" s="225">
        <f>F34</f>
        <v>25000</v>
      </c>
      <c r="I34" s="179"/>
      <c r="J34" s="225">
        <f>H34</f>
        <v>25000</v>
      </c>
      <c r="K34" s="179"/>
      <c r="L34" s="225">
        <f>J34</f>
        <v>25000</v>
      </c>
      <c r="M34" s="179"/>
      <c r="N34" s="225">
        <f>L34</f>
        <v>25000</v>
      </c>
      <c r="O34" s="179"/>
      <c r="P34" s="225">
        <f>N34</f>
        <v>25000</v>
      </c>
      <c r="Q34" s="179"/>
      <c r="R34" s="225">
        <f>P34</f>
        <v>25000</v>
      </c>
      <c r="S34" s="222"/>
      <c r="T34" s="225">
        <f>R34</f>
        <v>25000</v>
      </c>
      <c r="U34" s="179"/>
      <c r="V34" s="225">
        <f>T34</f>
        <v>25000</v>
      </c>
    </row>
    <row r="35" spans="1:22" x14ac:dyDescent="0.25">
      <c r="A35" s="179"/>
      <c r="B35" s="218" t="s">
        <v>195</v>
      </c>
      <c r="C35" s="179"/>
      <c r="D35" s="223">
        <f>ROUND('Cap Plan P2'!E33,-2)</f>
        <v>92500</v>
      </c>
      <c r="E35" s="179"/>
      <c r="F35" s="223">
        <f>ROUND('Cap Plan P2'!G33,-2)</f>
        <v>117500</v>
      </c>
      <c r="G35" s="226"/>
      <c r="H35" s="223">
        <f>ROUND('Cap Plan P2'!I33,-2)</f>
        <v>117500</v>
      </c>
      <c r="I35" s="226"/>
      <c r="J35" s="223">
        <f>ROUND('Cap Plan P2'!K33,-2)</f>
        <v>167500</v>
      </c>
      <c r="K35" s="226"/>
      <c r="L35" s="223">
        <f>ROUND('Cap Plan P2'!M33,-2)</f>
        <v>167500</v>
      </c>
      <c r="M35" s="226"/>
      <c r="N35" s="223">
        <f>ROUND('Cap Plan P2'!O33,-2)</f>
        <v>67500</v>
      </c>
      <c r="O35" s="179"/>
      <c r="P35" s="223">
        <f>ROUND('Cap Plan P2'!Q33,-2)</f>
        <v>217500</v>
      </c>
      <c r="Q35" s="179"/>
      <c r="R35" s="223">
        <f>ROUND('Cap Plan P2'!S33,-2)</f>
        <v>167500</v>
      </c>
      <c r="S35" s="222"/>
      <c r="T35" s="223">
        <f>ROUND('Cap Plan P2'!U33,-2)</f>
        <v>167500</v>
      </c>
      <c r="U35" s="222"/>
      <c r="V35" s="223">
        <f>ROUND('Cap Plan P2'!W33,-2)</f>
        <v>517500</v>
      </c>
    </row>
    <row r="36" spans="1:22" x14ac:dyDescent="0.25">
      <c r="A36" s="179"/>
      <c r="B36" s="179"/>
      <c r="C36" s="179"/>
      <c r="D36" s="227"/>
      <c r="E36" s="179"/>
      <c r="F36" s="227"/>
      <c r="G36" s="179"/>
      <c r="H36" s="227"/>
      <c r="I36" s="179"/>
      <c r="J36" s="227"/>
      <c r="K36" s="179"/>
      <c r="L36" s="227"/>
      <c r="M36" s="179"/>
      <c r="N36" s="227"/>
      <c r="O36" s="179"/>
      <c r="P36" s="227"/>
      <c r="Q36" s="179"/>
      <c r="R36" s="227"/>
      <c r="S36" s="213"/>
      <c r="T36" s="227"/>
      <c r="U36" s="179"/>
      <c r="V36" s="227"/>
    </row>
    <row r="37" spans="1:22" x14ac:dyDescent="0.25">
      <c r="A37" s="179"/>
      <c r="B37" s="179"/>
      <c r="C37" s="179" t="s">
        <v>110</v>
      </c>
      <c r="D37" s="221">
        <f>SUM(D32:D35)</f>
        <v>652800</v>
      </c>
      <c r="E37" s="179"/>
      <c r="F37" s="221">
        <f>SUM(F32:F35)</f>
        <v>676400</v>
      </c>
      <c r="G37" s="179"/>
      <c r="H37" s="221">
        <f>SUM(H32:H35)</f>
        <v>679500</v>
      </c>
      <c r="I37" s="179"/>
      <c r="J37" s="221">
        <f>SUM(J32:J35)</f>
        <v>703700</v>
      </c>
      <c r="K37" s="179"/>
      <c r="L37" s="221">
        <f>SUM(L32:L35)</f>
        <v>687400</v>
      </c>
      <c r="M37" s="179"/>
      <c r="N37" s="221">
        <f>SUM(N32:N35)</f>
        <v>594300</v>
      </c>
      <c r="O37" s="179"/>
      <c r="P37" s="221">
        <f>SUM(P32:P35)</f>
        <v>512000</v>
      </c>
      <c r="Q37" s="179"/>
      <c r="R37" s="221">
        <f>SUM(R32:R35)</f>
        <v>454600</v>
      </c>
      <c r="S37" s="222"/>
      <c r="T37" s="221">
        <f>SUM(T32:T35)</f>
        <v>457100</v>
      </c>
      <c r="U37" s="179"/>
      <c r="V37" s="221">
        <f>SUM(V32:V35)</f>
        <v>804200</v>
      </c>
    </row>
    <row r="38" spans="1:22" x14ac:dyDescent="0.25">
      <c r="A38" s="179"/>
      <c r="B38" s="179"/>
      <c r="C38" s="179"/>
      <c r="D38" s="223"/>
      <c r="E38" s="179"/>
      <c r="F38" s="223"/>
      <c r="G38" s="179"/>
      <c r="H38" s="223"/>
      <c r="I38" s="179"/>
      <c r="J38" s="223"/>
      <c r="K38" s="179"/>
      <c r="L38" s="223"/>
      <c r="M38" s="179"/>
      <c r="N38" s="223"/>
      <c r="O38" s="179"/>
      <c r="P38" s="223"/>
      <c r="Q38" s="179"/>
      <c r="R38" s="223"/>
      <c r="S38" s="222"/>
      <c r="T38" s="223"/>
      <c r="U38" s="179"/>
      <c r="V38" s="223"/>
    </row>
    <row r="39" spans="1:22" x14ac:dyDescent="0.25">
      <c r="A39" s="179" t="s">
        <v>111</v>
      </c>
      <c r="B39" s="179"/>
      <c r="C39" s="179"/>
      <c r="D39" s="223">
        <f>D23+D29-D37</f>
        <v>5000</v>
      </c>
      <c r="E39" s="179"/>
      <c r="F39" s="223">
        <f>F23+F29-F37</f>
        <v>-9200</v>
      </c>
      <c r="G39" s="179"/>
      <c r="H39" s="223">
        <f>H23+H29-H37</f>
        <v>-4200</v>
      </c>
      <c r="I39" s="179"/>
      <c r="J39" s="223">
        <f>J23+J29-J37</f>
        <v>-21600</v>
      </c>
      <c r="K39" s="179"/>
      <c r="L39" s="223">
        <f>L23+L29-L37</f>
        <v>200</v>
      </c>
      <c r="M39" s="179"/>
      <c r="N39" s="223">
        <f>N23+N29-N37</f>
        <v>84600</v>
      </c>
      <c r="O39" s="179"/>
      <c r="P39" s="223">
        <f>P23+P29-P37</f>
        <v>118600</v>
      </c>
      <c r="Q39" s="179"/>
      <c r="R39" s="223">
        <f>R23+R29-R37</f>
        <v>126300</v>
      </c>
      <c r="S39" s="222"/>
      <c r="T39" s="223">
        <f>T23+T29-T37</f>
        <v>72600</v>
      </c>
      <c r="U39" s="179"/>
      <c r="V39" s="223">
        <f>V23+V29-V37</f>
        <v>-327200</v>
      </c>
    </row>
    <row r="40" spans="1:22" x14ac:dyDescent="0.25">
      <c r="A40" s="179" t="s">
        <v>112</v>
      </c>
      <c r="B40" s="179"/>
      <c r="C40" s="179"/>
      <c r="D40" s="221">
        <f>'Cash Flow P1'!V42</f>
        <v>1028800</v>
      </c>
      <c r="E40" s="179"/>
      <c r="F40" s="221">
        <f>D42</f>
        <v>1033800</v>
      </c>
      <c r="G40" s="179"/>
      <c r="H40" s="221">
        <f>F42</f>
        <v>1024600</v>
      </c>
      <c r="I40" s="179"/>
      <c r="J40" s="221">
        <f>H42</f>
        <v>1020400</v>
      </c>
      <c r="K40" s="179"/>
      <c r="L40" s="221">
        <f>J42</f>
        <v>998800</v>
      </c>
      <c r="M40" s="179"/>
      <c r="N40" s="221">
        <f>L42</f>
        <v>999000</v>
      </c>
      <c r="O40" s="179"/>
      <c r="P40" s="221">
        <f>N42</f>
        <v>1083600</v>
      </c>
      <c r="Q40" s="179"/>
      <c r="R40" s="221">
        <f>P42</f>
        <v>1202200</v>
      </c>
      <c r="S40" s="222"/>
      <c r="T40" s="221">
        <f>R42</f>
        <v>1328500</v>
      </c>
      <c r="U40" s="179"/>
      <c r="V40" s="221">
        <f>T42</f>
        <v>1401100</v>
      </c>
    </row>
    <row r="41" spans="1:22" x14ac:dyDescent="0.2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213"/>
      <c r="T41" s="179"/>
      <c r="U41" s="179"/>
      <c r="V41" s="179"/>
    </row>
    <row r="42" spans="1:22" ht="16.5" thickBot="1" x14ac:dyDescent="0.3">
      <c r="A42" s="179" t="s">
        <v>87</v>
      </c>
      <c r="B42" s="179"/>
      <c r="C42" s="179"/>
      <c r="D42" s="229">
        <f>SUM(D39:D41)</f>
        <v>1033800</v>
      </c>
      <c r="E42" s="179"/>
      <c r="F42" s="229">
        <f>SUM(F39:F41)</f>
        <v>1024600</v>
      </c>
      <c r="G42" s="179"/>
      <c r="H42" s="229">
        <f>SUM(H39:H41)</f>
        <v>1020400</v>
      </c>
      <c r="I42" s="179"/>
      <c r="J42" s="229">
        <f>SUM(J39:J41)</f>
        <v>998800</v>
      </c>
      <c r="K42" s="179"/>
      <c r="L42" s="229">
        <f>SUM(L39:L41)</f>
        <v>999000</v>
      </c>
      <c r="M42" s="179"/>
      <c r="N42" s="229">
        <f>SUM(N39:N41)</f>
        <v>1083600</v>
      </c>
      <c r="O42" s="179"/>
      <c r="P42" s="229">
        <f>SUM(P39:P41)</f>
        <v>1202200</v>
      </c>
      <c r="Q42" s="179"/>
      <c r="R42" s="229">
        <f>SUM(R39:R41)</f>
        <v>1328500</v>
      </c>
      <c r="S42" s="215"/>
      <c r="T42" s="229">
        <f>SUM(T39:T41)</f>
        <v>1401100</v>
      </c>
      <c r="U42" s="179"/>
      <c r="V42" s="229">
        <f>SUM(V39:V41)</f>
        <v>1073900</v>
      </c>
    </row>
    <row r="43" spans="1:22" ht="16.5" thickTop="1" x14ac:dyDescent="0.25">
      <c r="A43" s="179"/>
      <c r="B43" s="179"/>
      <c r="C43" s="179"/>
      <c r="D43" s="179"/>
      <c r="E43" s="179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30"/>
      <c r="T43" s="228"/>
      <c r="U43" s="228"/>
      <c r="V43" s="228"/>
    </row>
    <row r="44" spans="1:22" ht="16.5" thickBot="1" x14ac:dyDescent="0.3">
      <c r="A44" s="179" t="s">
        <v>114</v>
      </c>
      <c r="B44" s="179"/>
      <c r="C44" s="179"/>
      <c r="D44" s="231">
        <v>0.04</v>
      </c>
      <c r="E44" s="232"/>
      <c r="F44" s="231">
        <v>0.04</v>
      </c>
      <c r="G44" s="233"/>
      <c r="H44" s="231">
        <v>0.04</v>
      </c>
      <c r="I44" s="234"/>
      <c r="J44" s="231">
        <v>0.04</v>
      </c>
      <c r="K44" s="234"/>
      <c r="L44" s="231">
        <v>0.04</v>
      </c>
      <c r="M44" s="234"/>
      <c r="N44" s="231">
        <v>0.03</v>
      </c>
      <c r="O44" s="234"/>
      <c r="P44" s="231">
        <v>0</v>
      </c>
      <c r="Q44" s="234"/>
      <c r="R44" s="231">
        <v>0</v>
      </c>
      <c r="S44" s="235"/>
      <c r="T44" s="231">
        <v>0</v>
      </c>
      <c r="U44" s="234"/>
      <c r="V44" s="231">
        <v>0</v>
      </c>
    </row>
    <row r="45" spans="1:22" ht="16.5" thickTop="1" x14ac:dyDescent="0.25">
      <c r="A45" s="179"/>
      <c r="B45" s="179"/>
      <c r="C45" s="179"/>
      <c r="D45" s="179"/>
      <c r="E45" s="179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30"/>
      <c r="T45" s="228"/>
      <c r="U45" s="228"/>
      <c r="V45" s="228"/>
    </row>
    <row r="46" spans="1:22" x14ac:dyDescent="0.25">
      <c r="A46" s="179" t="s">
        <v>179</v>
      </c>
      <c r="B46" s="179"/>
      <c r="C46" s="179"/>
      <c r="D46" s="179"/>
      <c r="E46" s="179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30"/>
      <c r="T46" s="228"/>
      <c r="U46" s="228"/>
      <c r="V46" s="228"/>
    </row>
    <row r="47" spans="1:22" ht="16.5" thickBot="1" x14ac:dyDescent="0.3">
      <c r="B47" s="179" t="s">
        <v>180</v>
      </c>
      <c r="D47" s="236">
        <f>CEILING('Cash Flow P1'!V47*(1+D44),0.05)</f>
        <v>59.400000000000006</v>
      </c>
      <c r="E47" s="179"/>
      <c r="F47" s="236">
        <f>CEILING(D47*(1+F44),0.05)</f>
        <v>61.800000000000004</v>
      </c>
      <c r="G47" s="228"/>
      <c r="H47" s="236">
        <f>CEILING(F47*(1+H44),0.05)</f>
        <v>64.3</v>
      </c>
      <c r="I47" s="228"/>
      <c r="J47" s="236">
        <f>CEILING(H47*(1+J44),0.05)</f>
        <v>66.900000000000006</v>
      </c>
      <c r="K47" s="228"/>
      <c r="L47" s="236">
        <f>CEILING(J47*(1+L44),0.05)</f>
        <v>69.600000000000009</v>
      </c>
      <c r="M47" s="228"/>
      <c r="N47" s="236">
        <f>CEILING(L47*(1+N44),0.05)</f>
        <v>71.7</v>
      </c>
      <c r="O47" s="228"/>
      <c r="P47" s="236">
        <f>CEILING(N47*(1+P44),0.05)</f>
        <v>71.7</v>
      </c>
      <c r="Q47" s="228"/>
      <c r="R47" s="236">
        <f>CEILING(P47*(1+R44),0.05)</f>
        <v>71.7</v>
      </c>
      <c r="S47" s="230"/>
      <c r="T47" s="236">
        <f>CEILING(R47*(1+T44),0.05)</f>
        <v>71.7</v>
      </c>
      <c r="U47" s="237"/>
      <c r="V47" s="236">
        <f>CEILING(T47*(1+V44),0.05)</f>
        <v>71.7</v>
      </c>
    </row>
    <row r="48" spans="1:22" ht="16.5" thickTop="1" x14ac:dyDescent="0.25">
      <c r="A48" s="179"/>
      <c r="B48" s="238"/>
      <c r="C48" s="179"/>
      <c r="D48" s="179"/>
      <c r="E48" s="179"/>
      <c r="F48" s="179"/>
      <c r="G48" s="228"/>
      <c r="H48" s="179"/>
      <c r="I48" s="228"/>
      <c r="J48" s="179"/>
      <c r="K48" s="228"/>
      <c r="L48" s="179"/>
      <c r="M48" s="228"/>
      <c r="N48" s="179"/>
      <c r="O48" s="228"/>
      <c r="P48" s="179"/>
      <c r="Q48" s="228"/>
      <c r="R48" s="179"/>
      <c r="S48" s="230"/>
      <c r="T48" s="179"/>
      <c r="U48" s="228"/>
      <c r="V48" s="179"/>
    </row>
    <row r="49" spans="1:22" ht="16.5" thickBot="1" x14ac:dyDescent="0.3">
      <c r="A49" s="179" t="s">
        <v>113</v>
      </c>
      <c r="B49" s="238"/>
      <c r="C49" s="179"/>
      <c r="D49" s="236">
        <f>D47-35</f>
        <v>24.400000000000006</v>
      </c>
      <c r="E49" s="237"/>
      <c r="F49" s="236">
        <f>+F47-D47</f>
        <v>2.3999999999999986</v>
      </c>
      <c r="G49" s="237"/>
      <c r="H49" s="236">
        <f>+H47-F47</f>
        <v>2.4999999999999929</v>
      </c>
      <c r="I49" s="228"/>
      <c r="J49" s="236">
        <f>+J47-H47</f>
        <v>2.6000000000000085</v>
      </c>
      <c r="K49" s="228"/>
      <c r="L49" s="236">
        <f>+L47-J47</f>
        <v>2.7000000000000028</v>
      </c>
      <c r="M49" s="228"/>
      <c r="N49" s="236">
        <f>+N47-L47</f>
        <v>2.0999999999999943</v>
      </c>
      <c r="O49" s="228"/>
      <c r="P49" s="236">
        <f>+P47-N47</f>
        <v>0</v>
      </c>
      <c r="Q49" s="228"/>
      <c r="R49" s="236">
        <f>+R47-P47</f>
        <v>0</v>
      </c>
      <c r="S49" s="230"/>
      <c r="T49" s="236">
        <f>+T47-R47</f>
        <v>0</v>
      </c>
      <c r="U49" s="228"/>
      <c r="V49" s="236">
        <f>+V47-T47</f>
        <v>0</v>
      </c>
    </row>
    <row r="50" spans="1:22" ht="16.5" thickTop="1" x14ac:dyDescent="0.25">
      <c r="A50" s="179"/>
      <c r="B50" s="238"/>
      <c r="C50" s="179"/>
      <c r="D50" s="179"/>
      <c r="E50" s="179"/>
      <c r="F50" s="179"/>
      <c r="G50" s="228"/>
      <c r="H50" s="179"/>
      <c r="I50" s="228"/>
      <c r="J50" s="179"/>
      <c r="K50" s="228"/>
      <c r="L50" s="179"/>
      <c r="M50" s="228"/>
      <c r="N50" s="179"/>
      <c r="O50" s="228"/>
      <c r="P50" s="179"/>
      <c r="Q50" s="228"/>
      <c r="R50" s="179"/>
      <c r="S50" s="230"/>
      <c r="T50" s="179"/>
      <c r="U50" s="228"/>
      <c r="V50" s="179"/>
    </row>
    <row r="51" spans="1:22" ht="16.5" thickBot="1" x14ac:dyDescent="0.3">
      <c r="A51" s="179" t="s">
        <v>88</v>
      </c>
      <c r="B51" s="238"/>
      <c r="C51" s="179"/>
      <c r="D51" s="239">
        <f>ROUND((D23+D26)/D32,2)</f>
        <v>1.32</v>
      </c>
      <c r="E51" s="179"/>
      <c r="F51" s="239">
        <f>ROUND((F23+F26)/F32,2)</f>
        <v>1.34</v>
      </c>
      <c r="G51" s="228"/>
      <c r="H51" s="239">
        <f>ROUND((H23+H26)/H32,2)</f>
        <v>1.35</v>
      </c>
      <c r="I51" s="228"/>
      <c r="J51" s="239">
        <f>ROUND((J23+J26)/J32,2)</f>
        <v>1.38</v>
      </c>
      <c r="K51" s="228"/>
      <c r="L51" s="239">
        <f>ROUND((L23+L26)/L32,2)</f>
        <v>1.39</v>
      </c>
      <c r="M51" s="228"/>
      <c r="N51" s="239">
        <f>ROUND((N23+N26)/N32,2)</f>
        <v>1.35</v>
      </c>
      <c r="O51" s="228"/>
      <c r="P51" s="239">
        <f>ROUND((P23+P26)/P32,2)</f>
        <v>2.33</v>
      </c>
      <c r="Q51" s="228"/>
      <c r="R51" s="239">
        <f>ROUND((R23+R26)/R32,2)</f>
        <v>2.21</v>
      </c>
      <c r="S51" s="230"/>
      <c r="T51" s="239">
        <f>ROUND((T23+T26)/T32,2)</f>
        <v>2</v>
      </c>
      <c r="U51" s="228"/>
      <c r="V51" s="239">
        <f>ROUND((V23+V26)/V32,2)</f>
        <v>1.82</v>
      </c>
    </row>
    <row r="52" spans="1:22" ht="16.5" thickTop="1" x14ac:dyDescent="0.25">
      <c r="A52" s="179"/>
      <c r="B52" s="238"/>
      <c r="C52" s="179"/>
      <c r="D52" s="179"/>
      <c r="E52" s="179"/>
      <c r="F52" s="179"/>
      <c r="G52" s="228"/>
      <c r="H52" s="179"/>
      <c r="I52" s="228"/>
      <c r="J52" s="179"/>
      <c r="K52" s="228"/>
      <c r="L52" s="179"/>
      <c r="M52" s="228"/>
      <c r="N52" s="179"/>
      <c r="O52" s="228"/>
      <c r="P52" s="179"/>
      <c r="Q52" s="228"/>
      <c r="R52" s="179"/>
      <c r="S52" s="230"/>
      <c r="T52" s="179"/>
      <c r="U52" s="228"/>
      <c r="V52" s="228"/>
    </row>
    <row r="53" spans="1:22" ht="16.5" thickBot="1" x14ac:dyDescent="0.3">
      <c r="A53" s="179" t="s">
        <v>181</v>
      </c>
      <c r="B53" s="238"/>
      <c r="C53" s="179"/>
      <c r="D53" s="239">
        <f>ROUND((D23+D29-D34-D16)/D32,2)</f>
        <v>1.26</v>
      </c>
      <c r="E53" s="179"/>
      <c r="F53" s="239">
        <f>ROUND((F23+F29-F34-F16)/F32,2)</f>
        <v>1.28</v>
      </c>
      <c r="G53" s="228"/>
      <c r="H53" s="239">
        <f>ROUND((H23+H29-H34-H16)/H32,2)</f>
        <v>1.29</v>
      </c>
      <c r="I53" s="228"/>
      <c r="J53" s="239">
        <f>ROUND((J23+J29-J34-J16)/J32,2)</f>
        <v>1.32</v>
      </c>
      <c r="K53" s="228"/>
      <c r="L53" s="239">
        <f>ROUND((L23+L29-L34-L16)/L32,2)</f>
        <v>1.33</v>
      </c>
      <c r="M53" s="228"/>
      <c r="N53" s="239">
        <f>ROUND((N23+N29-N34-N16)/N32,2)</f>
        <v>1.29</v>
      </c>
      <c r="O53" s="228"/>
      <c r="P53" s="239">
        <f>ROUND((P23+P29-P34-P16)/P32,2)</f>
        <v>2.23</v>
      </c>
      <c r="Q53" s="228"/>
      <c r="R53" s="239">
        <f>ROUND((R23+R29-R34-R16)/R32,2)</f>
        <v>2.1</v>
      </c>
      <c r="S53" s="230"/>
      <c r="T53" s="239">
        <f>ROUND((T23+T29-T34-T16)/T32,2)</f>
        <v>1.89</v>
      </c>
      <c r="U53" s="228"/>
      <c r="V53" s="239">
        <f>ROUND((V23+V29-V34-V16)/V32,2)</f>
        <v>1.71</v>
      </c>
    </row>
    <row r="54" spans="1:22" ht="16.5" thickTop="1" x14ac:dyDescent="0.25">
      <c r="A54" s="179"/>
      <c r="B54" s="238"/>
      <c r="C54" s="179"/>
      <c r="D54" s="179"/>
      <c r="E54" s="179"/>
      <c r="F54" s="179"/>
      <c r="G54" s="228"/>
      <c r="H54" s="179"/>
      <c r="I54" s="228"/>
      <c r="J54" s="179"/>
      <c r="K54" s="228"/>
      <c r="L54" s="179"/>
      <c r="M54" s="228"/>
      <c r="N54" s="179"/>
      <c r="O54" s="228"/>
      <c r="P54" s="179"/>
      <c r="Q54" s="228"/>
      <c r="R54" s="179"/>
      <c r="S54" s="230"/>
      <c r="T54" s="179"/>
      <c r="U54" s="228"/>
      <c r="V54" s="228"/>
    </row>
    <row r="55" spans="1:22" x14ac:dyDescent="0.25">
      <c r="A55" s="179"/>
      <c r="B55" s="238"/>
      <c r="C55" s="179"/>
      <c r="D55" s="179"/>
      <c r="E55" s="179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  <c r="T55" s="228"/>
      <c r="U55" s="228"/>
      <c r="V55" s="228"/>
    </row>
    <row r="56" spans="1:22" x14ac:dyDescent="0.25">
      <c r="A56" s="179"/>
      <c r="B56" s="238"/>
      <c r="C56" s="179"/>
      <c r="D56" s="179"/>
      <c r="E56" s="179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30"/>
      <c r="T56" s="228"/>
      <c r="U56" s="228"/>
      <c r="V56" s="228"/>
    </row>
    <row r="57" spans="1:22" x14ac:dyDescent="0.25">
      <c r="A57" s="246">
        <f>'Cash Flow P1'!A57+1</f>
        <v>10</v>
      </c>
      <c r="B57" s="242"/>
      <c r="C57" s="178"/>
      <c r="D57" s="178"/>
      <c r="E57" s="178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4"/>
      <c r="T57" s="243"/>
      <c r="U57" s="243"/>
      <c r="V57" s="243"/>
    </row>
    <row r="58" spans="1:22" x14ac:dyDescent="0.25">
      <c r="A58" s="179"/>
      <c r="B58" s="238"/>
      <c r="C58" s="179"/>
      <c r="D58" s="179"/>
      <c r="E58" s="179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30"/>
      <c r="T58" s="228"/>
      <c r="U58" s="228"/>
      <c r="V58" s="228"/>
    </row>
    <row r="59" spans="1:22" x14ac:dyDescent="0.25">
      <c r="A59" s="179"/>
      <c r="B59" s="238"/>
      <c r="C59" s="179"/>
      <c r="D59" s="179"/>
      <c r="E59" s="179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30"/>
      <c r="T59" s="228"/>
      <c r="U59" s="228"/>
      <c r="V59" s="228"/>
    </row>
    <row r="60" spans="1:22" x14ac:dyDescent="0.25">
      <c r="A60" s="179"/>
      <c r="B60" s="238"/>
      <c r="C60" s="179"/>
      <c r="D60" s="179"/>
      <c r="E60" s="179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30"/>
      <c r="T60" s="228"/>
      <c r="U60" s="228"/>
      <c r="V60" s="228"/>
    </row>
    <row r="61" spans="1:22" x14ac:dyDescent="0.25">
      <c r="A61" s="179"/>
      <c r="B61" s="238"/>
      <c r="C61" s="179"/>
      <c r="D61" s="179"/>
      <c r="E61" s="179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30"/>
      <c r="T61" s="228"/>
      <c r="U61" s="228"/>
      <c r="V61" s="228"/>
    </row>
  </sheetData>
  <mergeCells count="3">
    <mergeCell ref="A3:V3"/>
    <mergeCell ref="A4:V4"/>
    <mergeCell ref="D6:V6"/>
  </mergeCells>
  <printOptions horizontalCentered="1"/>
  <pageMargins left="0.7" right="0.7" top="0.75" bottom="0.75" header="0.3" footer="0.3"/>
  <pageSetup scale="5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Normal="100" zoomScaleSheetLayoutView="100" workbookViewId="0">
      <selection activeCell="J15" sqref="J15"/>
    </sheetView>
  </sheetViews>
  <sheetFormatPr defaultColWidth="8.85546875" defaultRowHeight="15.75" x14ac:dyDescent="0.25"/>
  <cols>
    <col min="1" max="1" width="4.42578125" style="159" customWidth="1"/>
    <col min="2" max="2" width="29.28515625" style="159" customWidth="1"/>
    <col min="3" max="3" width="1.7109375" style="159" customWidth="1"/>
    <col min="4" max="4" width="15.42578125" style="159" bestFit="1" customWidth="1"/>
    <col min="5" max="5" width="1.7109375" style="159" customWidth="1"/>
    <col min="6" max="6" width="13.28515625" style="159" bestFit="1" customWidth="1"/>
    <col min="7" max="7" width="1.7109375" style="159" customWidth="1"/>
    <col min="8" max="8" width="13.42578125" style="159" bestFit="1" customWidth="1"/>
    <col min="9" max="9" width="1.7109375" style="159" customWidth="1"/>
    <col min="10" max="10" width="13.28515625" style="159" bestFit="1" customWidth="1"/>
    <col min="11" max="12" width="1.7109375" style="159" customWidth="1"/>
    <col min="13" max="13" width="13.28515625" style="159" bestFit="1" customWidth="1"/>
    <col min="14" max="14" width="1.7109375" style="159" customWidth="1"/>
    <col min="15" max="15" width="13.28515625" style="159" bestFit="1" customWidth="1"/>
    <col min="16" max="16" width="1.7109375" style="159" customWidth="1"/>
    <col min="17" max="17" width="13.28515625" style="159" bestFit="1" customWidth="1"/>
    <col min="18" max="18" width="1.7109375" style="159" customWidth="1"/>
    <col min="19" max="16384" width="8.85546875" style="159"/>
  </cols>
  <sheetData>
    <row r="1" spans="1:20" x14ac:dyDescent="0.25">
      <c r="A1" s="284" t="str">
        <f>'Cash Flow P1'!A1</f>
        <v>ANYTOWN WATER UTILITY/SEWAGE WORKS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58"/>
      <c r="O1" s="158"/>
      <c r="P1" s="158"/>
      <c r="Q1" s="158"/>
      <c r="R1" s="158"/>
    </row>
    <row r="2" spans="1:20" x14ac:dyDescent="0.25"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0" x14ac:dyDescent="0.25">
      <c r="A3" s="285" t="str">
        <f>'Cash Flow P1'!A3</f>
        <v>SCHEDULE OF ESTIMATED REVENUES, EXPENSES,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158"/>
      <c r="O3" s="162"/>
      <c r="P3" s="205"/>
      <c r="Q3" s="205"/>
      <c r="R3" s="205"/>
      <c r="S3" s="162"/>
      <c r="T3" s="162"/>
    </row>
    <row r="4" spans="1:20" x14ac:dyDescent="0.25">
      <c r="A4" s="160" t="str">
        <f>'Cash Flow P1'!A4:V4</f>
        <v>ENDING CASH AND RESULTING AVERAGE MONTHLY BILL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8"/>
      <c r="O4" s="162"/>
      <c r="P4" s="205"/>
      <c r="Q4" s="205"/>
      <c r="R4" s="205"/>
      <c r="S4" s="162"/>
      <c r="T4" s="162"/>
    </row>
    <row r="5" spans="1:20" x14ac:dyDescent="0.25">
      <c r="A5" s="284" t="s">
        <v>14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158"/>
      <c r="O5" s="205"/>
      <c r="P5" s="205"/>
      <c r="Q5" s="205"/>
      <c r="R5" s="205"/>
      <c r="S5" s="162"/>
      <c r="T5" s="162"/>
    </row>
    <row r="6" spans="1:20" ht="15.6" customHeight="1" x14ac:dyDescent="0.25">
      <c r="B6" s="161"/>
      <c r="O6" s="162"/>
      <c r="P6" s="162"/>
      <c r="Q6" s="162"/>
      <c r="R6" s="162"/>
      <c r="S6" s="162"/>
      <c r="T6" s="162"/>
    </row>
    <row r="7" spans="1:20" ht="15.6" customHeight="1" x14ac:dyDescent="0.25">
      <c r="A7" s="166" t="s">
        <v>80</v>
      </c>
      <c r="B7" s="163" t="s">
        <v>183</v>
      </c>
      <c r="O7" s="162"/>
      <c r="P7" s="162"/>
      <c r="Q7" s="162"/>
      <c r="R7" s="162"/>
      <c r="S7" s="162"/>
      <c r="T7" s="162"/>
    </row>
    <row r="8" spans="1:20" ht="15.6" customHeight="1" x14ac:dyDescent="0.25">
      <c r="O8" s="162"/>
      <c r="P8" s="162"/>
      <c r="Q8" s="162"/>
      <c r="R8" s="162"/>
      <c r="S8" s="162"/>
      <c r="T8" s="162"/>
    </row>
    <row r="9" spans="1:20" ht="15.6" customHeight="1" x14ac:dyDescent="0.25">
      <c r="A9" s="166" t="s">
        <v>81</v>
      </c>
      <c r="B9" s="163" t="s">
        <v>184</v>
      </c>
      <c r="O9" s="162"/>
      <c r="P9" s="162"/>
      <c r="Q9" s="162"/>
      <c r="R9" s="162"/>
      <c r="S9" s="162"/>
      <c r="T9" s="162"/>
    </row>
    <row r="10" spans="1:20" ht="15.6" customHeight="1" x14ac:dyDescent="0.25">
      <c r="B10" s="159" t="s">
        <v>185</v>
      </c>
      <c r="O10" s="206"/>
      <c r="P10" s="162"/>
      <c r="Q10" s="206"/>
      <c r="R10" s="162"/>
      <c r="S10" s="206"/>
      <c r="T10" s="162"/>
    </row>
    <row r="11" spans="1:20" ht="15.6" customHeight="1" x14ac:dyDescent="0.25">
      <c r="O11" s="206"/>
      <c r="P11" s="162"/>
      <c r="Q11" s="206"/>
      <c r="R11" s="162"/>
      <c r="S11" s="206"/>
      <c r="T11" s="162"/>
    </row>
    <row r="12" spans="1:20" ht="15.6" customHeight="1" x14ac:dyDescent="0.25">
      <c r="A12" s="166" t="s">
        <v>78</v>
      </c>
      <c r="B12" s="163" t="s">
        <v>188</v>
      </c>
      <c r="O12" s="162"/>
      <c r="P12" s="162"/>
      <c r="Q12" s="162"/>
      <c r="R12" s="162"/>
      <c r="S12" s="162"/>
      <c r="T12" s="162"/>
    </row>
    <row r="13" spans="1:20" ht="15.6" customHeight="1" x14ac:dyDescent="0.25">
      <c r="B13" s="163"/>
      <c r="O13" s="162"/>
      <c r="P13" s="162"/>
      <c r="Q13" s="162"/>
      <c r="R13" s="162"/>
      <c r="S13" s="162"/>
      <c r="T13" s="162"/>
    </row>
    <row r="14" spans="1:20" ht="15.6" customHeight="1" x14ac:dyDescent="0.25">
      <c r="A14" s="166" t="s">
        <v>33</v>
      </c>
      <c r="B14" s="163" t="s">
        <v>190</v>
      </c>
    </row>
    <row r="15" spans="1:20" ht="15.6" customHeight="1" x14ac:dyDescent="0.25">
      <c r="B15" s="163"/>
    </row>
    <row r="16" spans="1:20" ht="15.6" customHeight="1" x14ac:dyDescent="0.25">
      <c r="A16" s="166" t="s">
        <v>34</v>
      </c>
      <c r="B16" s="163" t="s">
        <v>197</v>
      </c>
      <c r="S16" s="164"/>
    </row>
    <row r="17" spans="1:19" ht="15.6" customHeight="1" x14ac:dyDescent="0.25">
      <c r="B17" s="163"/>
      <c r="S17" s="164"/>
    </row>
    <row r="18" spans="1:19" ht="15.6" customHeight="1" x14ac:dyDescent="0.25">
      <c r="A18" s="166" t="s">
        <v>64</v>
      </c>
      <c r="B18" s="163" t="s">
        <v>196</v>
      </c>
    </row>
    <row r="19" spans="1:19" ht="15.6" customHeight="1" x14ac:dyDescent="0.25">
      <c r="B19" s="163"/>
    </row>
    <row r="20" spans="1:19" ht="15.6" customHeight="1" x14ac:dyDescent="0.25">
      <c r="A20" s="166" t="s">
        <v>77</v>
      </c>
      <c r="B20" s="163" t="s">
        <v>198</v>
      </c>
    </row>
    <row r="21" spans="1:19" ht="15.6" customHeight="1" x14ac:dyDescent="0.25">
      <c r="B21" s="163" t="s">
        <v>199</v>
      </c>
    </row>
    <row r="22" spans="1:19" ht="15.6" customHeight="1" x14ac:dyDescent="0.25">
      <c r="B22" s="163"/>
    </row>
    <row r="23" spans="1:19" ht="15.6" customHeight="1" x14ac:dyDescent="0.25">
      <c r="A23" s="166" t="s">
        <v>82</v>
      </c>
      <c r="B23" s="163" t="s">
        <v>200</v>
      </c>
    </row>
    <row r="24" spans="1:19" ht="15.6" customHeight="1" x14ac:dyDescent="0.25">
      <c r="B24" s="163"/>
    </row>
    <row r="25" spans="1:19" ht="15.6" customHeight="1" x14ac:dyDescent="0.25">
      <c r="A25" s="166"/>
      <c r="B25" s="163"/>
    </row>
    <row r="26" spans="1:19" ht="15.6" customHeight="1" x14ac:dyDescent="0.25">
      <c r="B26" s="163"/>
    </row>
    <row r="27" spans="1:19" ht="15.6" customHeight="1" x14ac:dyDescent="0.25">
      <c r="B27" s="163"/>
    </row>
    <row r="28" spans="1:19" ht="15.6" customHeight="1" x14ac:dyDescent="0.25">
      <c r="A28" s="166"/>
      <c r="B28" s="163"/>
    </row>
    <row r="29" spans="1:19" ht="15.6" customHeight="1" x14ac:dyDescent="0.25">
      <c r="A29" s="166"/>
    </row>
    <row r="30" spans="1:19" ht="15.6" customHeight="1" x14ac:dyDescent="0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158"/>
      <c r="O30" s="158"/>
      <c r="P30" s="158"/>
      <c r="Q30" s="158"/>
      <c r="R30" s="158"/>
    </row>
    <row r="31" spans="1:19" ht="15.6" customHeight="1" x14ac:dyDescent="0.25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158"/>
      <c r="O31" s="158"/>
      <c r="P31" s="158"/>
      <c r="Q31" s="158"/>
      <c r="R31" s="158"/>
    </row>
    <row r="32" spans="1:19" ht="15.6" customHeight="1" x14ac:dyDescent="0.25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158"/>
      <c r="O32" s="158"/>
      <c r="P32" s="158"/>
      <c r="Q32" s="158"/>
      <c r="R32" s="158"/>
    </row>
    <row r="33" spans="1:18" x14ac:dyDescent="0.2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18" x14ac:dyDescent="0.25">
      <c r="A34" s="282">
        <f>'Cash Flow P1'!A57+1</f>
        <v>10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158"/>
      <c r="O34" s="158"/>
      <c r="P34" s="158"/>
      <c r="Q34" s="158"/>
      <c r="R34" s="158"/>
    </row>
    <row r="36" spans="1:18" x14ac:dyDescent="0.25">
      <c r="D36" s="165"/>
      <c r="F36" s="165"/>
      <c r="H36" s="165"/>
      <c r="J36" s="165"/>
      <c r="M36" s="165"/>
      <c r="O36" s="165"/>
      <c r="Q36" s="165"/>
    </row>
  </sheetData>
  <mergeCells count="7">
    <mergeCell ref="A34:M34"/>
    <mergeCell ref="A1:M1"/>
    <mergeCell ref="A3:M3"/>
    <mergeCell ref="A5:M5"/>
    <mergeCell ref="A30:M30"/>
    <mergeCell ref="A31:M31"/>
    <mergeCell ref="A32:M32"/>
  </mergeCell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7"/>
  <sheetViews>
    <sheetView view="pageBreakPreview" zoomScale="80" zoomScaleNormal="100" zoomScaleSheetLayoutView="80" zoomScalePageLayoutView="85" workbookViewId="0">
      <selection activeCell="B10" sqref="B10:F11"/>
    </sheetView>
  </sheetViews>
  <sheetFormatPr defaultColWidth="9.140625" defaultRowHeight="15.75" x14ac:dyDescent="0.25"/>
  <cols>
    <col min="1" max="1" width="40.140625" style="1" customWidth="1"/>
    <col min="2" max="2" width="13.28515625" style="1" customWidth="1"/>
    <col min="3" max="3" width="1.7109375" style="1" customWidth="1"/>
    <col min="4" max="4" width="13.7109375" style="1" bestFit="1" customWidth="1"/>
    <col min="5" max="5" width="1.7109375" style="1" customWidth="1"/>
    <col min="6" max="6" width="13.7109375" style="1" bestFit="1" customWidth="1"/>
    <col min="7" max="7" width="1.7109375" style="1" customWidth="1"/>
    <col min="8" max="16384" width="9.140625" style="1"/>
  </cols>
  <sheetData>
    <row r="1" spans="1:7" s="96" customFormat="1" x14ac:dyDescent="0.25">
      <c r="A1" s="275" t="s">
        <v>203</v>
      </c>
    </row>
    <row r="2" spans="1:7" s="96" customFormat="1" x14ac:dyDescent="0.25">
      <c r="A2" s="272"/>
    </row>
    <row r="3" spans="1:7" x14ac:dyDescent="0.25">
      <c r="A3" s="114" t="str">
        <f>'Cap Plan P1'!A1</f>
        <v>ANYTOWN WATER UTILITY/SEWAGE WORKS</v>
      </c>
      <c r="B3" s="4"/>
      <c r="C3" s="4"/>
      <c r="D3" s="4"/>
      <c r="E3" s="4"/>
      <c r="F3" s="4"/>
      <c r="G3" s="4"/>
    </row>
    <row r="4" spans="1:7" x14ac:dyDescent="0.25">
      <c r="A4" s="103"/>
    </row>
    <row r="5" spans="1:7" x14ac:dyDescent="0.25">
      <c r="A5" s="49" t="s">
        <v>19</v>
      </c>
      <c r="B5" s="50"/>
      <c r="C5" s="50"/>
      <c r="D5" s="50"/>
      <c r="E5" s="50"/>
      <c r="F5" s="50"/>
      <c r="G5" s="50"/>
    </row>
    <row r="6" spans="1:7" x14ac:dyDescent="0.25">
      <c r="A6" s="49" t="s">
        <v>20</v>
      </c>
      <c r="B6" s="50"/>
      <c r="C6" s="50"/>
      <c r="D6" s="50"/>
      <c r="E6" s="50"/>
      <c r="F6" s="50"/>
      <c r="G6" s="50"/>
    </row>
    <row r="7" spans="1:7" x14ac:dyDescent="0.25">
      <c r="B7" s="273"/>
      <c r="C7" s="273"/>
      <c r="D7" s="273"/>
      <c r="E7" s="274"/>
      <c r="F7" s="274"/>
      <c r="G7" s="274"/>
    </row>
    <row r="8" spans="1:7" x14ac:dyDescent="0.25">
      <c r="A8" s="51"/>
      <c r="B8" s="50"/>
      <c r="C8" s="50"/>
      <c r="D8" s="50"/>
      <c r="E8" s="50"/>
      <c r="F8" s="50"/>
      <c r="G8" s="50"/>
    </row>
    <row r="9" spans="1:7" x14ac:dyDescent="0.25">
      <c r="A9" s="52"/>
      <c r="B9" s="52"/>
      <c r="C9" s="52"/>
      <c r="D9" s="52"/>
      <c r="E9" s="52"/>
      <c r="F9" s="52"/>
      <c r="G9" s="52"/>
    </row>
    <row r="10" spans="1:7" x14ac:dyDescent="0.25">
      <c r="A10" s="52"/>
      <c r="B10" s="16" t="s">
        <v>209</v>
      </c>
      <c r="C10" s="16"/>
      <c r="D10" s="16"/>
      <c r="E10" s="16"/>
      <c r="F10" s="16"/>
      <c r="G10" s="55"/>
    </row>
    <row r="11" spans="1:7" x14ac:dyDescent="0.25">
      <c r="A11" s="53" t="s">
        <v>36</v>
      </c>
      <c r="B11" s="149" t="s">
        <v>210</v>
      </c>
      <c r="C11" s="54"/>
      <c r="D11" s="149" t="s">
        <v>210</v>
      </c>
      <c r="E11" s="54"/>
      <c r="F11" s="149" t="s">
        <v>210</v>
      </c>
      <c r="G11" s="54"/>
    </row>
    <row r="12" spans="1:7" x14ac:dyDescent="0.25">
      <c r="A12" s="52"/>
      <c r="B12" s="96"/>
      <c r="C12" s="96"/>
      <c r="D12" s="96"/>
      <c r="E12" s="96"/>
      <c r="F12" s="96"/>
      <c r="G12" s="52"/>
    </row>
    <row r="13" spans="1:7" x14ac:dyDescent="0.25">
      <c r="A13" s="69" t="s">
        <v>84</v>
      </c>
      <c r="B13" s="142"/>
      <c r="C13" s="142"/>
      <c r="D13" s="173"/>
      <c r="E13" s="142"/>
      <c r="F13" s="142"/>
      <c r="G13" s="142"/>
    </row>
    <row r="14" spans="1:7" x14ac:dyDescent="0.25">
      <c r="A14" s="1" t="s">
        <v>43</v>
      </c>
    </row>
    <row r="15" spans="1:7" x14ac:dyDescent="0.25">
      <c r="A15" s="68" t="s">
        <v>30</v>
      </c>
      <c r="B15" s="92"/>
      <c r="C15" s="59"/>
      <c r="D15" s="92"/>
      <c r="E15" s="59"/>
      <c r="F15" s="92"/>
      <c r="G15" s="59"/>
    </row>
    <row r="16" spans="1:7" x14ac:dyDescent="0.25">
      <c r="A16" s="68" t="s">
        <v>31</v>
      </c>
      <c r="B16" s="92"/>
      <c r="C16" s="59"/>
      <c r="D16" s="92"/>
      <c r="E16" s="59"/>
      <c r="F16" s="92"/>
      <c r="G16" s="59"/>
    </row>
    <row r="17" spans="1:7" x14ac:dyDescent="0.25">
      <c r="A17" s="70" t="s">
        <v>168</v>
      </c>
      <c r="B17" s="92"/>
      <c r="C17" s="59"/>
      <c r="D17" s="92"/>
      <c r="E17" s="59"/>
      <c r="F17" s="92"/>
      <c r="G17" s="59"/>
    </row>
    <row r="18" spans="1:7" x14ac:dyDescent="0.25">
      <c r="A18" s="1" t="s">
        <v>85</v>
      </c>
      <c r="B18" s="92"/>
      <c r="C18" s="59"/>
      <c r="D18" s="92"/>
      <c r="E18" s="59"/>
      <c r="F18" s="92"/>
      <c r="G18" s="59"/>
    </row>
    <row r="19" spans="1:7" x14ac:dyDescent="0.25">
      <c r="A19" s="1" t="s">
        <v>86</v>
      </c>
      <c r="B19" s="92"/>
      <c r="C19" s="59"/>
      <c r="D19" s="92"/>
      <c r="E19" s="59"/>
      <c r="F19" s="92"/>
      <c r="G19" s="59"/>
    </row>
    <row r="20" spans="1:7" x14ac:dyDescent="0.25">
      <c r="A20" s="52"/>
      <c r="B20" s="60"/>
      <c r="C20" s="61"/>
      <c r="D20" s="60"/>
      <c r="E20" s="61"/>
      <c r="F20" s="60"/>
      <c r="G20" s="61"/>
    </row>
    <row r="21" spans="1:7" x14ac:dyDescent="0.25">
      <c r="A21" s="146" t="s">
        <v>37</v>
      </c>
      <c r="B21" s="92">
        <f>SUBTOTAL(109,B13:B20)</f>
        <v>0</v>
      </c>
      <c r="C21" s="59"/>
      <c r="D21" s="139">
        <f>SUBTOTAL(109,D13:D20)</f>
        <v>0</v>
      </c>
      <c r="E21" s="59"/>
      <c r="F21" s="139">
        <f>SUBTOTAL(109,F13:F20)</f>
        <v>0</v>
      </c>
      <c r="G21" s="59"/>
    </row>
    <row r="22" spans="1:7" x14ac:dyDescent="0.25">
      <c r="A22" s="62"/>
      <c r="B22" s="147"/>
      <c r="C22" s="63"/>
      <c r="D22" s="147"/>
      <c r="E22" s="63"/>
      <c r="F22" s="147"/>
      <c r="G22" s="63"/>
    </row>
    <row r="23" spans="1:7" x14ac:dyDescent="0.25">
      <c r="A23" s="53" t="s">
        <v>38</v>
      </c>
      <c r="B23" s="63"/>
      <c r="C23" s="63"/>
      <c r="D23" s="63"/>
      <c r="E23" s="63"/>
      <c r="F23" s="63"/>
      <c r="G23" s="63"/>
    </row>
    <row r="24" spans="1:7" x14ac:dyDescent="0.25">
      <c r="A24" s="52"/>
      <c r="B24" s="63"/>
      <c r="C24" s="63"/>
      <c r="D24" s="63"/>
      <c r="E24" s="63"/>
      <c r="F24" s="63"/>
      <c r="G24" s="63"/>
    </row>
    <row r="25" spans="1:7" x14ac:dyDescent="0.25">
      <c r="A25" s="69" t="s">
        <v>29</v>
      </c>
      <c r="B25" s="92"/>
      <c r="C25" s="63"/>
      <c r="D25" s="92"/>
      <c r="E25" s="63"/>
      <c r="F25" s="92"/>
      <c r="G25" s="63"/>
    </row>
    <row r="26" spans="1:7" x14ac:dyDescent="0.25">
      <c r="A26" s="1" t="s">
        <v>43</v>
      </c>
      <c r="B26" s="63"/>
      <c r="C26" s="63"/>
      <c r="D26" s="63"/>
      <c r="E26" s="63"/>
      <c r="F26" s="63"/>
      <c r="G26" s="63"/>
    </row>
    <row r="27" spans="1:7" x14ac:dyDescent="0.25">
      <c r="A27" s="68" t="s">
        <v>30</v>
      </c>
      <c r="B27" s="92"/>
      <c r="C27" s="63"/>
      <c r="D27" s="92"/>
      <c r="E27" s="63"/>
      <c r="F27" s="92"/>
      <c r="G27" s="63"/>
    </row>
    <row r="28" spans="1:7" x14ac:dyDescent="0.25">
      <c r="A28" s="68" t="s">
        <v>31</v>
      </c>
      <c r="B28" s="92"/>
      <c r="C28" s="63"/>
      <c r="D28" s="92"/>
      <c r="E28" s="63"/>
      <c r="F28" s="92"/>
      <c r="G28" s="63"/>
    </row>
    <row r="29" spans="1:7" x14ac:dyDescent="0.25">
      <c r="A29" s="70" t="s">
        <v>168</v>
      </c>
      <c r="B29" s="92"/>
      <c r="C29" s="63"/>
      <c r="D29" s="92"/>
      <c r="E29" s="63"/>
      <c r="F29" s="92"/>
      <c r="G29" s="63"/>
    </row>
    <row r="30" spans="1:7" x14ac:dyDescent="0.25">
      <c r="A30" s="70" t="s">
        <v>32</v>
      </c>
      <c r="B30" s="92"/>
      <c r="C30" s="59"/>
      <c r="D30" s="92"/>
      <c r="E30" s="59"/>
      <c r="F30" s="92"/>
      <c r="G30" s="59"/>
    </row>
    <row r="31" spans="1:7" x14ac:dyDescent="0.25">
      <c r="A31" s="70"/>
      <c r="B31" s="148"/>
      <c r="C31" s="59"/>
      <c r="D31" s="148"/>
      <c r="E31" s="59"/>
      <c r="F31" s="148"/>
      <c r="G31" s="59"/>
    </row>
    <row r="32" spans="1:7" x14ac:dyDescent="0.25">
      <c r="A32" s="71" t="s">
        <v>39</v>
      </c>
      <c r="B32" s="92">
        <f>SUBTOTAL(109,B24:B31)</f>
        <v>0</v>
      </c>
      <c r="C32" s="59"/>
      <c r="D32" s="139">
        <f>SUBTOTAL(109,D24:D31)</f>
        <v>0</v>
      </c>
      <c r="E32" s="59"/>
      <c r="F32" s="139">
        <f>SUBTOTAL(109,F24:F31)</f>
        <v>0</v>
      </c>
      <c r="G32" s="59"/>
    </row>
    <row r="33" spans="1:7" x14ac:dyDescent="0.25">
      <c r="A33" s="71"/>
      <c r="B33" s="147"/>
      <c r="C33" s="63"/>
      <c r="D33" s="147"/>
      <c r="E33" s="63"/>
      <c r="F33" s="147"/>
      <c r="G33" s="63"/>
    </row>
    <row r="34" spans="1:7" ht="16.5" thickBot="1" x14ac:dyDescent="0.3">
      <c r="A34" s="71" t="s">
        <v>40</v>
      </c>
      <c r="B34" s="174">
        <f>B21+B32</f>
        <v>0</v>
      </c>
      <c r="C34" s="63"/>
      <c r="D34" s="174">
        <f>D21+D32</f>
        <v>0</v>
      </c>
      <c r="E34" s="63"/>
      <c r="F34" s="174">
        <f>F21+F32</f>
        <v>0</v>
      </c>
      <c r="G34" s="63"/>
    </row>
    <row r="35" spans="1:7" ht="16.5" thickTop="1" x14ac:dyDescent="0.25">
      <c r="A35" s="52"/>
      <c r="B35" s="56"/>
      <c r="C35" s="56"/>
      <c r="D35" s="57"/>
      <c r="E35" s="56"/>
      <c r="F35" s="56"/>
      <c r="G35" s="56"/>
    </row>
    <row r="36" spans="1:7" x14ac:dyDescent="0.25">
      <c r="A36" s="64" t="s">
        <v>45</v>
      </c>
      <c r="B36" s="3"/>
      <c r="C36" s="3"/>
      <c r="D36" s="65"/>
      <c r="E36" s="3"/>
      <c r="F36" s="3"/>
      <c r="G36" s="3"/>
    </row>
    <row r="37" spans="1:7" x14ac:dyDescent="0.25">
      <c r="A37" s="52"/>
      <c r="B37" s="56"/>
      <c r="C37" s="56"/>
      <c r="D37" s="57"/>
      <c r="E37" s="56"/>
      <c r="F37" s="56"/>
      <c r="G37" s="56"/>
    </row>
    <row r="38" spans="1:7" ht="16.5" thickBot="1" x14ac:dyDescent="0.3">
      <c r="A38" s="58" t="s">
        <v>99</v>
      </c>
      <c r="B38" s="203"/>
      <c r="C38" s="204"/>
      <c r="D38" s="203"/>
      <c r="E38" s="204"/>
      <c r="F38" s="203"/>
      <c r="G38" s="63"/>
    </row>
    <row r="39" spans="1:7" ht="16.5" thickTop="1" x14ac:dyDescent="0.25">
      <c r="A39" s="52"/>
      <c r="B39" s="52"/>
      <c r="C39" s="52"/>
      <c r="D39" s="57"/>
      <c r="E39" s="52"/>
      <c r="F39" s="52"/>
      <c r="G39" s="52"/>
    </row>
    <row r="40" spans="1:7" x14ac:dyDescent="0.25">
      <c r="A40" s="52"/>
      <c r="B40" s="52"/>
      <c r="C40" s="52"/>
      <c r="D40" s="57"/>
      <c r="E40" s="52"/>
      <c r="F40" s="52"/>
      <c r="G40" s="52"/>
    </row>
    <row r="41" spans="1:7" x14ac:dyDescent="0.25">
      <c r="A41" s="52"/>
      <c r="B41" s="52"/>
      <c r="C41" s="52"/>
      <c r="D41" s="57"/>
      <c r="E41" s="52"/>
      <c r="F41" s="52"/>
      <c r="G41" s="52"/>
    </row>
    <row r="42" spans="1:7" x14ac:dyDescent="0.25">
      <c r="A42" s="52"/>
      <c r="B42" s="52"/>
      <c r="C42" s="52"/>
      <c r="D42" s="57"/>
      <c r="E42" s="52"/>
      <c r="F42" s="52"/>
      <c r="G42" s="52"/>
    </row>
    <row r="43" spans="1:7" x14ac:dyDescent="0.25">
      <c r="A43" s="52"/>
      <c r="B43" s="52"/>
      <c r="C43" s="52"/>
      <c r="D43" s="57"/>
      <c r="E43" s="52"/>
      <c r="F43" s="52"/>
      <c r="G43" s="52"/>
    </row>
    <row r="44" spans="1:7" x14ac:dyDescent="0.25">
      <c r="A44" s="52"/>
      <c r="B44" s="52"/>
      <c r="C44" s="52"/>
      <c r="D44" s="57"/>
      <c r="E44" s="52"/>
      <c r="F44" s="52"/>
      <c r="G44" s="52"/>
    </row>
    <row r="45" spans="1:7" x14ac:dyDescent="0.25">
      <c r="A45" s="109" t="s">
        <v>204</v>
      </c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26">
        <f>Ref!A34+1</f>
        <v>11</v>
      </c>
      <c r="B49" s="4"/>
      <c r="C49" s="4"/>
      <c r="D49" s="4"/>
      <c r="E49" s="4"/>
      <c r="F49" s="4"/>
      <c r="G49" s="4"/>
    </row>
    <row r="50" spans="1:7" x14ac:dyDescent="0.25">
      <c r="A50" s="19"/>
      <c r="B50" s="19"/>
      <c r="C50" s="19"/>
      <c r="D50" s="19"/>
      <c r="E50" s="19"/>
      <c r="F50" s="19"/>
      <c r="G50" s="19"/>
    </row>
    <row r="51" spans="1:7" x14ac:dyDescent="0.25">
      <c r="A51" s="105"/>
      <c r="B51" s="19"/>
      <c r="C51" s="19"/>
      <c r="D51" s="19"/>
      <c r="E51" s="19"/>
      <c r="F51" s="19"/>
      <c r="G51" s="19"/>
    </row>
    <row r="52" spans="1:7" x14ac:dyDescent="0.25">
      <c r="A52" s="104"/>
      <c r="B52" s="106"/>
      <c r="C52" s="106"/>
      <c r="D52" s="106"/>
      <c r="E52" s="106"/>
      <c r="F52" s="106"/>
      <c r="G52" s="106"/>
    </row>
    <row r="53" spans="1:7" x14ac:dyDescent="0.25">
      <c r="A53" s="104"/>
      <c r="B53" s="106"/>
      <c r="C53" s="19"/>
      <c r="D53" s="106"/>
      <c r="E53" s="19"/>
      <c r="F53" s="106"/>
      <c r="G53" s="19"/>
    </row>
    <row r="54" spans="1:7" x14ac:dyDescent="0.25">
      <c r="A54" s="104"/>
      <c r="B54" s="106"/>
      <c r="C54" s="19"/>
      <c r="D54" s="106"/>
      <c r="E54" s="19"/>
      <c r="F54" s="106"/>
      <c r="G54" s="106"/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x14ac:dyDescent="0.25">
      <c r="A56" s="19"/>
      <c r="B56" s="19"/>
      <c r="C56" s="19"/>
      <c r="D56" s="19"/>
      <c r="E56" s="19"/>
      <c r="F56" s="19"/>
      <c r="G56" s="19"/>
    </row>
    <row r="57" spans="1:7" x14ac:dyDescent="0.25">
      <c r="A57" s="19"/>
      <c r="B57" s="19"/>
      <c r="C57" s="19"/>
      <c r="D57" s="19"/>
      <c r="E57" s="19"/>
      <c r="F57" s="19"/>
      <c r="G57" s="19"/>
    </row>
  </sheetData>
  <phoneticPr fontId="0" type="noConversion"/>
  <printOptions horizontalCentered="1"/>
  <pageMargins left="0.75" right="0.75" top="1" bottom="1" header="0.5" footer="0.5"/>
  <pageSetup scale="90" orientation="portrait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71"/>
  <sheetViews>
    <sheetView view="pageBreakPreview" zoomScale="80" zoomScaleNormal="85" zoomScaleSheetLayoutView="80" zoomScalePageLayoutView="70" workbookViewId="0">
      <selection activeCell="E11" sqref="E11"/>
    </sheetView>
  </sheetViews>
  <sheetFormatPr defaultColWidth="9.140625" defaultRowHeight="16.5" customHeight="1" x14ac:dyDescent="0.25"/>
  <cols>
    <col min="1" max="1" width="51.28515625" style="1" customWidth="1"/>
    <col min="2" max="2" width="1.7109375" style="1" customWidth="1"/>
    <col min="3" max="3" width="14.7109375" style="1" customWidth="1"/>
    <col min="4" max="4" width="1.85546875" style="1" customWidth="1"/>
    <col min="5" max="5" width="14.7109375" style="1" customWidth="1"/>
    <col min="6" max="6" width="1.85546875" style="1" customWidth="1"/>
    <col min="7" max="7" width="14.7109375" style="1" customWidth="1"/>
    <col min="8" max="8" width="1.85546875" style="1" customWidth="1"/>
    <col min="9" max="16384" width="9.140625" style="1"/>
  </cols>
  <sheetData>
    <row r="1" spans="1:8" s="96" customFormat="1" ht="16.5" customHeight="1" x14ac:dyDescent="0.25">
      <c r="A1" s="275" t="s">
        <v>203</v>
      </c>
    </row>
    <row r="2" spans="1:8" s="96" customFormat="1" ht="16.5" customHeight="1" x14ac:dyDescent="0.25"/>
    <row r="3" spans="1:8" ht="16.5" customHeight="1" x14ac:dyDescent="0.25">
      <c r="A3" s="114" t="str">
        <f>'Cap Plan P1'!A1</f>
        <v>ANYTOWN WATER UTILITY/SEWAGE WORKS</v>
      </c>
      <c r="B3" s="4"/>
      <c r="C3" s="4"/>
      <c r="D3" s="4"/>
      <c r="E3" s="4"/>
      <c r="F3" s="4"/>
      <c r="G3" s="4"/>
      <c r="H3" s="4"/>
    </row>
    <row r="4" spans="1:8" ht="16.5" customHeight="1" x14ac:dyDescent="0.25">
      <c r="A4" s="103"/>
    </row>
    <row r="5" spans="1:8" ht="16.5" customHeight="1" x14ac:dyDescent="0.25">
      <c r="A5" s="6" t="s">
        <v>21</v>
      </c>
      <c r="B5" s="6"/>
      <c r="C5" s="6"/>
      <c r="D5" s="6"/>
      <c r="E5" s="6"/>
      <c r="F5" s="6"/>
      <c r="G5" s="4"/>
      <c r="H5" s="4"/>
    </row>
    <row r="6" spans="1:8" s="96" customFormat="1" ht="16.5" customHeight="1" x14ac:dyDescent="0.25">
      <c r="A6" s="67"/>
      <c r="B6" s="67"/>
      <c r="C6" s="67"/>
      <c r="D6" s="67"/>
      <c r="E6" s="67"/>
      <c r="F6" s="67"/>
      <c r="G6" s="91"/>
      <c r="H6" s="91"/>
    </row>
    <row r="7" spans="1:8" ht="16.5" customHeight="1" x14ac:dyDescent="0.25">
      <c r="C7" s="52"/>
      <c r="D7" s="52"/>
      <c r="E7" s="52"/>
      <c r="F7" s="52"/>
      <c r="G7" s="52"/>
      <c r="H7" s="52"/>
    </row>
    <row r="8" spans="1:8" ht="16.5" customHeight="1" x14ac:dyDescent="0.25">
      <c r="C8" s="16" t="s">
        <v>209</v>
      </c>
      <c r="D8" s="16"/>
      <c r="E8" s="16"/>
      <c r="F8" s="16"/>
      <c r="G8" s="16"/>
      <c r="H8" s="85"/>
    </row>
    <row r="9" spans="1:8" ht="16.5" customHeight="1" x14ac:dyDescent="0.25">
      <c r="C9" s="149" t="s">
        <v>210</v>
      </c>
      <c r="D9" s="54"/>
      <c r="E9" s="149" t="s">
        <v>210</v>
      </c>
      <c r="F9" s="54"/>
      <c r="G9" s="149" t="s">
        <v>210</v>
      </c>
      <c r="H9" s="54"/>
    </row>
    <row r="10" spans="1:8" ht="16.5" customHeight="1" x14ac:dyDescent="0.25">
      <c r="A10" s="1" t="s">
        <v>22</v>
      </c>
    </row>
    <row r="11" spans="1:8" ht="16.5" customHeight="1" x14ac:dyDescent="0.25">
      <c r="A11" s="73" t="s">
        <v>98</v>
      </c>
      <c r="C11" s="142"/>
      <c r="D11" s="142"/>
      <c r="E11" s="142"/>
      <c r="F11" s="142"/>
      <c r="G11" s="142"/>
      <c r="H11" s="142"/>
    </row>
    <row r="12" spans="1:8" s="96" customFormat="1" ht="16.5" customHeight="1" x14ac:dyDescent="0.25">
      <c r="A12" s="90" t="s">
        <v>161</v>
      </c>
      <c r="C12" s="142"/>
      <c r="D12" s="142"/>
      <c r="E12" s="142"/>
      <c r="F12" s="142"/>
      <c r="G12" s="142"/>
      <c r="H12" s="142"/>
    </row>
    <row r="13" spans="1:8" s="96" customFormat="1" ht="16.5" customHeight="1" x14ac:dyDescent="0.25">
      <c r="A13" s="90" t="s">
        <v>162</v>
      </c>
      <c r="C13" s="142"/>
      <c r="D13" s="142"/>
      <c r="E13" s="142"/>
      <c r="F13" s="142"/>
      <c r="G13" s="142"/>
      <c r="H13" s="142"/>
    </row>
    <row r="14" spans="1:8" s="96" customFormat="1" ht="16.5" customHeight="1" x14ac:dyDescent="0.25">
      <c r="A14" s="90" t="s">
        <v>163</v>
      </c>
      <c r="C14" s="142"/>
      <c r="D14" s="142"/>
      <c r="E14" s="142"/>
      <c r="F14" s="142"/>
      <c r="G14" s="142"/>
      <c r="H14" s="142"/>
    </row>
    <row r="15" spans="1:8" s="96" customFormat="1" ht="16.5" customHeight="1" x14ac:dyDescent="0.25">
      <c r="A15" s="90" t="s">
        <v>164</v>
      </c>
      <c r="C15" s="142"/>
      <c r="D15" s="142"/>
      <c r="E15" s="142"/>
      <c r="F15" s="142"/>
      <c r="G15" s="142"/>
      <c r="H15" s="142"/>
    </row>
    <row r="16" spans="1:8" s="96" customFormat="1" ht="16.5" customHeight="1" x14ac:dyDescent="0.25">
      <c r="A16" s="90" t="s">
        <v>169</v>
      </c>
      <c r="C16" s="142"/>
      <c r="D16" s="142"/>
      <c r="E16" s="142"/>
      <c r="F16" s="142"/>
      <c r="G16" s="142"/>
      <c r="H16" s="142"/>
    </row>
    <row r="17" spans="1:8" ht="16.5" customHeight="1" x14ac:dyDescent="0.25">
      <c r="A17" s="73" t="s">
        <v>165</v>
      </c>
      <c r="C17" s="89"/>
      <c r="E17" s="89"/>
      <c r="G17" s="89"/>
    </row>
    <row r="18" spans="1:8" s="96" customFormat="1" ht="16.5" customHeight="1" x14ac:dyDescent="0.25">
      <c r="A18" s="90" t="s">
        <v>166</v>
      </c>
      <c r="C18" s="153"/>
      <c r="E18" s="153"/>
      <c r="G18" s="153"/>
    </row>
    <row r="19" spans="1:8" s="96" customFormat="1" ht="16.5" customHeight="1" x14ac:dyDescent="0.25">
      <c r="A19" s="90" t="s">
        <v>126</v>
      </c>
      <c r="C19" s="153"/>
      <c r="E19" s="153"/>
      <c r="G19" s="153"/>
    </row>
    <row r="20" spans="1:8" ht="12.75" customHeight="1" x14ac:dyDescent="0.25">
      <c r="A20" s="93"/>
      <c r="C20" s="135"/>
      <c r="E20" s="135"/>
      <c r="G20" s="135"/>
    </row>
    <row r="21" spans="1:8" ht="16.5" customHeight="1" x14ac:dyDescent="0.25">
      <c r="A21" s="74" t="s">
        <v>79</v>
      </c>
      <c r="C21" s="107">
        <f>SUBTOTAL(109,C11:C20)</f>
        <v>0</v>
      </c>
      <c r="E21" s="107">
        <f>SUBTOTAL(109,E11:E20)</f>
        <v>0</v>
      </c>
      <c r="G21" s="107">
        <f>SUBTOTAL(109,G11:G20)</f>
        <v>0</v>
      </c>
    </row>
    <row r="22" spans="1:8" ht="12.75" customHeight="1" x14ac:dyDescent="0.25">
      <c r="C22" s="9"/>
      <c r="E22" s="9"/>
      <c r="G22" s="9"/>
    </row>
    <row r="23" spans="1:8" ht="16.5" customHeight="1" x14ac:dyDescent="0.25">
      <c r="A23" s="1" t="s">
        <v>23</v>
      </c>
    </row>
    <row r="24" spans="1:8" ht="16.5" customHeight="1" x14ac:dyDescent="0.25">
      <c r="A24" s="145" t="s">
        <v>2</v>
      </c>
      <c r="C24" s="89"/>
      <c r="E24" s="89"/>
      <c r="G24" s="89"/>
      <c r="H24" s="94"/>
    </row>
    <row r="25" spans="1:8" ht="16.5" customHeight="1" x14ac:dyDescent="0.25">
      <c r="A25" s="145" t="s">
        <v>74</v>
      </c>
      <c r="C25" s="89"/>
      <c r="E25" s="89"/>
      <c r="G25" s="89"/>
      <c r="H25" s="94"/>
    </row>
    <row r="26" spans="1:8" ht="16.5" customHeight="1" x14ac:dyDescent="0.25">
      <c r="A26" s="145" t="s">
        <v>24</v>
      </c>
      <c r="C26" s="89"/>
      <c r="E26" s="89"/>
      <c r="G26" s="89"/>
      <c r="H26" s="94"/>
    </row>
    <row r="27" spans="1:8" s="96" customFormat="1" ht="16.5" customHeight="1" x14ac:dyDescent="0.25">
      <c r="A27" s="145" t="s">
        <v>159</v>
      </c>
      <c r="C27" s="153"/>
      <c r="E27" s="153"/>
      <c r="G27" s="153"/>
      <c r="H27" s="153"/>
    </row>
    <row r="28" spans="1:8" ht="16.5" customHeight="1" x14ac:dyDescent="0.25">
      <c r="A28" s="145" t="s">
        <v>60</v>
      </c>
      <c r="C28" s="89"/>
      <c r="E28" s="89"/>
      <c r="G28" s="89"/>
      <c r="H28" s="94"/>
    </row>
    <row r="29" spans="1:8" ht="16.5" customHeight="1" x14ac:dyDescent="0.25">
      <c r="A29" s="145" t="s">
        <v>75</v>
      </c>
      <c r="C29" s="89"/>
      <c r="E29" s="89"/>
      <c r="G29" s="89"/>
      <c r="H29" s="75"/>
    </row>
    <row r="30" spans="1:8" s="96" customFormat="1" ht="16.5" customHeight="1" x14ac:dyDescent="0.25">
      <c r="A30" s="145" t="s">
        <v>158</v>
      </c>
      <c r="C30" s="153"/>
      <c r="E30" s="153"/>
      <c r="G30" s="153"/>
      <c r="H30" s="152"/>
    </row>
    <row r="31" spans="1:8" ht="16.5" customHeight="1" x14ac:dyDescent="0.25">
      <c r="A31" s="145" t="s">
        <v>25</v>
      </c>
      <c r="C31" s="89"/>
      <c r="E31" s="89"/>
      <c r="G31" s="89"/>
      <c r="H31" s="94"/>
    </row>
    <row r="32" spans="1:8" ht="16.5" customHeight="1" x14ac:dyDescent="0.25">
      <c r="A32" s="145" t="s">
        <v>57</v>
      </c>
      <c r="C32" s="89"/>
      <c r="E32" s="89"/>
      <c r="G32" s="89"/>
      <c r="H32" s="94"/>
    </row>
    <row r="33" spans="1:8" ht="16.5" customHeight="1" x14ac:dyDescent="0.25">
      <c r="A33" s="145" t="s">
        <v>61</v>
      </c>
      <c r="C33" s="89"/>
      <c r="E33" s="89"/>
      <c r="G33" s="89"/>
      <c r="H33" s="94"/>
    </row>
    <row r="34" spans="1:8" ht="16.5" customHeight="1" x14ac:dyDescent="0.25">
      <c r="A34" s="145" t="s">
        <v>26</v>
      </c>
      <c r="C34" s="89"/>
      <c r="E34" s="89"/>
      <c r="G34" s="89"/>
      <c r="H34" s="94"/>
    </row>
    <row r="35" spans="1:8" ht="16.5" customHeight="1" x14ac:dyDescent="0.25">
      <c r="A35" s="145" t="s">
        <v>63</v>
      </c>
      <c r="C35" s="89"/>
      <c r="E35" s="89"/>
      <c r="G35" s="89"/>
      <c r="H35" s="94"/>
    </row>
    <row r="36" spans="1:8" ht="12.75" customHeight="1" x14ac:dyDescent="0.25">
      <c r="C36" s="66"/>
      <c r="E36" s="66"/>
      <c r="G36" s="66"/>
    </row>
    <row r="37" spans="1:8" ht="16.5" customHeight="1" x14ac:dyDescent="0.25">
      <c r="A37" s="74" t="s">
        <v>52</v>
      </c>
      <c r="C37" s="107">
        <f>SUBTOTAL(109,C24:C36)</f>
        <v>0</v>
      </c>
      <c r="E37" s="107">
        <f>SUBTOTAL(109,E24:E36)</f>
        <v>0</v>
      </c>
      <c r="G37" s="107">
        <f>SUBTOTAL(109,G24:G36)</f>
        <v>0</v>
      </c>
    </row>
    <row r="38" spans="1:8" ht="12.75" customHeight="1" x14ac:dyDescent="0.25"/>
    <row r="39" spans="1:8" ht="16.5" customHeight="1" x14ac:dyDescent="0.25">
      <c r="A39" s="87" t="s">
        <v>35</v>
      </c>
      <c r="C39" s="94">
        <f>C21-C37</f>
        <v>0</v>
      </c>
      <c r="D39" s="94"/>
      <c r="E39" s="94">
        <f>E21-E37</f>
        <v>0</v>
      </c>
      <c r="F39" s="94"/>
      <c r="G39" s="94">
        <f>G21-G37</f>
        <v>0</v>
      </c>
      <c r="H39" s="94"/>
    </row>
    <row r="40" spans="1:8" ht="12.75" customHeight="1" x14ac:dyDescent="0.25">
      <c r="C40" s="12"/>
      <c r="E40" s="12"/>
      <c r="G40" s="12"/>
    </row>
    <row r="41" spans="1:8" ht="16.5" customHeight="1" x14ac:dyDescent="0.25">
      <c r="A41" s="1" t="s">
        <v>27</v>
      </c>
    </row>
    <row r="42" spans="1:8" ht="16.5" customHeight="1" x14ac:dyDescent="0.25">
      <c r="A42" s="73" t="s">
        <v>58</v>
      </c>
      <c r="C42" s="94"/>
      <c r="D42" s="94"/>
      <c r="E42" s="94"/>
      <c r="F42" s="94"/>
      <c r="G42" s="94"/>
      <c r="H42" s="94"/>
    </row>
    <row r="43" spans="1:8" s="96" customFormat="1" ht="16.5" customHeight="1" x14ac:dyDescent="0.25">
      <c r="A43" s="90" t="s">
        <v>167</v>
      </c>
      <c r="C43" s="153"/>
      <c r="D43" s="153"/>
      <c r="E43" s="153"/>
      <c r="F43" s="153"/>
      <c r="G43" s="153"/>
      <c r="H43" s="153"/>
    </row>
    <row r="44" spans="1:8" ht="16.5" customHeight="1" x14ac:dyDescent="0.25">
      <c r="A44" s="73" t="s">
        <v>3</v>
      </c>
      <c r="C44" s="89"/>
      <c r="E44" s="89"/>
      <c r="G44" s="89"/>
      <c r="H44" s="11"/>
    </row>
    <row r="45" spans="1:8" ht="16.5" customHeight="1" x14ac:dyDescent="0.25">
      <c r="A45" s="73" t="s">
        <v>56</v>
      </c>
      <c r="C45" s="89"/>
      <c r="E45" s="89"/>
      <c r="G45" s="89"/>
      <c r="H45" s="11"/>
    </row>
    <row r="46" spans="1:8" ht="16.5" customHeight="1" x14ac:dyDescent="0.25">
      <c r="A46" s="73" t="s">
        <v>59</v>
      </c>
      <c r="C46" s="89"/>
      <c r="E46" s="89"/>
      <c r="G46" s="89"/>
      <c r="H46" s="11"/>
    </row>
    <row r="47" spans="1:8" ht="12.75" customHeight="1" x14ac:dyDescent="0.25">
      <c r="C47" s="66"/>
      <c r="E47" s="66"/>
      <c r="G47" s="66"/>
    </row>
    <row r="48" spans="1:8" ht="16.5" customHeight="1" x14ac:dyDescent="0.25">
      <c r="A48" s="74" t="s">
        <v>50</v>
      </c>
      <c r="C48" s="107">
        <f>SUBTOTAL(109,C42:C47)</f>
        <v>0</v>
      </c>
      <c r="E48" s="107">
        <f>SUBTOTAL(109,E42:E47)</f>
        <v>0</v>
      </c>
      <c r="G48" s="107">
        <f>SUBTOTAL(109,G42:G47)</f>
        <v>0</v>
      </c>
    </row>
    <row r="49" spans="1:8" ht="12.75" customHeight="1" x14ac:dyDescent="0.25"/>
    <row r="50" spans="1:8" ht="16.5" customHeight="1" x14ac:dyDescent="0.25">
      <c r="A50" s="1" t="s">
        <v>44</v>
      </c>
    </row>
    <row r="51" spans="1:8" ht="16.5" customHeight="1" x14ac:dyDescent="0.25">
      <c r="A51" s="73" t="s">
        <v>76</v>
      </c>
      <c r="C51" s="89"/>
      <c r="E51" s="89"/>
      <c r="G51" s="89"/>
      <c r="H51" s="11"/>
    </row>
    <row r="52" spans="1:8" ht="16.5" customHeight="1" x14ac:dyDescent="0.25">
      <c r="A52" s="73" t="s">
        <v>62</v>
      </c>
      <c r="C52" s="136"/>
      <c r="E52" s="136"/>
      <c r="G52" s="136"/>
      <c r="H52" s="11"/>
    </row>
    <row r="53" spans="1:8" s="96" customFormat="1" ht="16.5" customHeight="1" x14ac:dyDescent="0.25">
      <c r="A53" s="90" t="s">
        <v>89</v>
      </c>
      <c r="C53" s="152"/>
      <c r="E53" s="152"/>
      <c r="G53" s="152"/>
      <c r="H53" s="43"/>
    </row>
    <row r="54" spans="1:8" ht="12.75" customHeight="1" x14ac:dyDescent="0.25">
      <c r="C54" s="12"/>
      <c r="E54" s="12"/>
      <c r="G54" s="12"/>
    </row>
    <row r="55" spans="1:8" ht="16.5" customHeight="1" x14ac:dyDescent="0.25">
      <c r="A55" s="74" t="s">
        <v>51</v>
      </c>
      <c r="C55" s="107">
        <f>SUBTOTAL(109,C51:C54)</f>
        <v>0</v>
      </c>
      <c r="E55" s="107">
        <f>SUBTOTAL(109,E51:E54)</f>
        <v>0</v>
      </c>
      <c r="G55" s="107">
        <f>SUBTOTAL(109,G51:G54)</f>
        <v>0</v>
      </c>
    </row>
    <row r="56" spans="1:8" ht="12.75" customHeight="1" x14ac:dyDescent="0.25"/>
    <row r="57" spans="1:8" ht="16.5" customHeight="1" x14ac:dyDescent="0.25">
      <c r="A57" s="1" t="s">
        <v>41</v>
      </c>
      <c r="C57" s="153">
        <f>C39+C48-C55</f>
        <v>0</v>
      </c>
      <c r="D57" s="142"/>
      <c r="E57" s="153">
        <f>E39+E48-E55</f>
        <v>0</v>
      </c>
      <c r="F57" s="142"/>
      <c r="G57" s="153">
        <f>G39+G48-G55</f>
        <v>0</v>
      </c>
      <c r="H57" s="142"/>
    </row>
    <row r="58" spans="1:8" ht="16.5" customHeight="1" x14ac:dyDescent="0.25">
      <c r="A58" s="1" t="s">
        <v>42</v>
      </c>
      <c r="C58" s="89">
        <v>0</v>
      </c>
      <c r="E58" s="89">
        <f>C60</f>
        <v>0</v>
      </c>
      <c r="G58" s="89">
        <f>E60</f>
        <v>0</v>
      </c>
    </row>
    <row r="59" spans="1:8" ht="12.75" customHeight="1" x14ac:dyDescent="0.25">
      <c r="C59" s="12"/>
      <c r="E59" s="12"/>
      <c r="G59" s="12"/>
    </row>
    <row r="60" spans="1:8" ht="16.5" customHeight="1" thickBot="1" x14ac:dyDescent="0.3">
      <c r="A60" s="1" t="s">
        <v>87</v>
      </c>
      <c r="C60" s="29">
        <f>SUM(C57:C58)</f>
        <v>0</v>
      </c>
      <c r="D60" s="142"/>
      <c r="E60" s="29">
        <f>SUM(E57:E58)</f>
        <v>0</v>
      </c>
      <c r="F60" s="142"/>
      <c r="G60" s="29">
        <f>SUM(G57:G58)</f>
        <v>0</v>
      </c>
      <c r="H60" s="142"/>
    </row>
    <row r="61" spans="1:8" ht="12.75" customHeight="1" thickTop="1" x14ac:dyDescent="0.25">
      <c r="C61" s="13"/>
      <c r="E61" s="13"/>
      <c r="G61" s="13"/>
    </row>
    <row r="62" spans="1:8" ht="16.5" customHeight="1" x14ac:dyDescent="0.25">
      <c r="A62" s="4"/>
      <c r="B62" s="4"/>
      <c r="C62" s="4"/>
      <c r="D62" s="4"/>
      <c r="E62" s="4"/>
      <c r="F62" s="118"/>
      <c r="G62" s="4"/>
      <c r="H62" s="4"/>
    </row>
    <row r="63" spans="1:8" ht="16.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4.2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6.5" customHeight="1" x14ac:dyDescent="0.25">
      <c r="A65" s="26">
        <f>'Financial Stmt Cash 1'!A49+1</f>
        <v>12</v>
      </c>
      <c r="B65" s="4"/>
      <c r="C65" s="4"/>
      <c r="D65" s="4"/>
      <c r="E65" s="4"/>
      <c r="F65" s="4"/>
      <c r="G65" s="4"/>
      <c r="H65" s="4"/>
    </row>
    <row r="66" spans="1:8" ht="16.5" customHeight="1" x14ac:dyDescent="0.25">
      <c r="A66" s="4"/>
      <c r="B66" s="4"/>
      <c r="C66" s="4"/>
      <c r="D66" s="4"/>
      <c r="E66" s="4"/>
      <c r="F66" s="4"/>
    </row>
    <row r="67" spans="1:8" ht="16.5" customHeight="1" x14ac:dyDescent="0.25">
      <c r="A67" s="104"/>
      <c r="B67" s="4"/>
      <c r="C67" s="180"/>
      <c r="D67" s="181"/>
      <c r="E67" s="180"/>
      <c r="F67" s="181"/>
      <c r="G67" s="180"/>
      <c r="H67" s="88"/>
    </row>
    <row r="68" spans="1:8" ht="16.5" customHeight="1" x14ac:dyDescent="0.25">
      <c r="A68" s="104"/>
      <c r="C68" s="88"/>
      <c r="D68" s="88"/>
      <c r="E68" s="88"/>
      <c r="F68" s="88"/>
      <c r="G68" s="88"/>
      <c r="H68" s="88"/>
    </row>
    <row r="69" spans="1:8" ht="16.5" customHeight="1" x14ac:dyDescent="0.25">
      <c r="F69" s="2"/>
    </row>
    <row r="71" spans="1:8" ht="16.5" customHeight="1" x14ac:dyDescent="0.25">
      <c r="F71" s="2"/>
    </row>
  </sheetData>
  <phoneticPr fontId="0" type="noConversion"/>
  <printOptions horizontalCentered="1"/>
  <pageMargins left="0.75" right="0.75" top="1" bottom="1" header="0.5" footer="0.5"/>
  <pageSetup scale="67" fitToWidth="0" fitToHeight="0" orientation="portrait" r:id="rId1"/>
  <headerFooter scaleWithDoc="0" alignWithMargins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="80" zoomScaleNormal="85" zoomScaleSheetLayoutView="80" zoomScalePageLayoutView="70" workbookViewId="0">
      <selection activeCell="P25" sqref="P25"/>
    </sheetView>
  </sheetViews>
  <sheetFormatPr defaultColWidth="9.140625" defaultRowHeight="16.5" customHeight="1" x14ac:dyDescent="0.25"/>
  <cols>
    <col min="1" max="1" width="46.85546875" style="96" customWidth="1"/>
    <col min="2" max="2" width="1.7109375" style="96" customWidth="1"/>
    <col min="3" max="3" width="14.7109375" style="96" customWidth="1"/>
    <col min="4" max="4" width="1.85546875" style="96" customWidth="1"/>
    <col min="5" max="5" width="14.7109375" style="96" customWidth="1"/>
    <col min="6" max="6" width="1.85546875" style="96" customWidth="1"/>
    <col min="7" max="7" width="14.7109375" style="96" customWidth="1"/>
    <col min="8" max="8" width="1.85546875" style="96" customWidth="1"/>
    <col min="9" max="16384" width="9.140625" style="96"/>
  </cols>
  <sheetData>
    <row r="1" spans="1:8" ht="16.5" customHeight="1" x14ac:dyDescent="0.25">
      <c r="A1" s="114" t="str">
        <f>'Cap Plan P1'!A1</f>
        <v>ANYTOWN WATER UTILITY/SEWAGE WORKS</v>
      </c>
      <c r="B1" s="91"/>
      <c r="C1" s="91"/>
      <c r="D1" s="91"/>
      <c r="E1" s="91"/>
      <c r="F1" s="91"/>
      <c r="G1" s="91"/>
      <c r="H1" s="91"/>
    </row>
    <row r="2" spans="1:8" ht="16.5" customHeight="1" x14ac:dyDescent="0.25">
      <c r="A2" s="103"/>
    </row>
    <row r="3" spans="1:8" ht="16.5" customHeight="1" x14ac:dyDescent="0.25">
      <c r="A3" s="279" t="s">
        <v>206</v>
      </c>
      <c r="B3" s="276"/>
      <c r="C3" s="276"/>
      <c r="D3" s="277"/>
      <c r="E3" s="277"/>
      <c r="F3" s="277"/>
      <c r="G3" s="278"/>
      <c r="H3" s="278"/>
    </row>
    <row r="4" spans="1:8" ht="16.5" customHeight="1" x14ac:dyDescent="0.25">
      <c r="A4" s="141"/>
      <c r="B4" s="141"/>
      <c r="C4" s="141"/>
      <c r="D4" s="141"/>
      <c r="E4" s="141"/>
      <c r="F4" s="141"/>
      <c r="G4" s="91"/>
      <c r="H4" s="91"/>
    </row>
    <row r="5" spans="1:8" ht="16.5" customHeight="1" x14ac:dyDescent="0.25">
      <c r="C5" s="52"/>
      <c r="D5" s="52"/>
      <c r="E5" s="52"/>
      <c r="F5" s="52"/>
      <c r="G5" s="52"/>
      <c r="H5" s="52"/>
    </row>
    <row r="6" spans="1:8" ht="16.5" customHeight="1" x14ac:dyDescent="0.25">
      <c r="C6" s="117"/>
      <c r="D6" s="117"/>
      <c r="E6" s="117"/>
      <c r="F6" s="117"/>
      <c r="G6" s="117"/>
      <c r="H6" s="99"/>
    </row>
    <row r="7" spans="1:8" ht="16.5" customHeight="1" x14ac:dyDescent="0.25">
      <c r="C7" s="54"/>
      <c r="D7" s="54"/>
      <c r="E7" s="54"/>
      <c r="F7" s="54"/>
      <c r="G7" s="54"/>
      <c r="H7" s="54"/>
    </row>
    <row r="8" spans="1:8" ht="16.5" customHeight="1" x14ac:dyDescent="0.25">
      <c r="C8" s="44"/>
      <c r="D8" s="44"/>
      <c r="E8" s="44"/>
      <c r="F8" s="44"/>
      <c r="G8" s="44"/>
    </row>
    <row r="9" spans="1:8" ht="16.5" customHeight="1" x14ac:dyDescent="0.25">
      <c r="A9" s="90"/>
      <c r="C9" s="46"/>
      <c r="D9" s="46"/>
      <c r="E9" s="46"/>
      <c r="F9" s="46"/>
      <c r="G9" s="46"/>
      <c r="H9" s="142"/>
    </row>
    <row r="10" spans="1:8" ht="16.5" customHeight="1" x14ac:dyDescent="0.25">
      <c r="A10" s="90"/>
      <c r="C10" s="152"/>
      <c r="D10" s="44"/>
      <c r="E10" s="152"/>
      <c r="F10" s="44"/>
      <c r="G10" s="152"/>
    </row>
    <row r="11" spans="1:8" ht="12.75" customHeight="1" x14ac:dyDescent="0.25">
      <c r="A11" s="93"/>
      <c r="C11" s="152"/>
      <c r="D11" s="44"/>
      <c r="E11" s="152"/>
      <c r="F11" s="44"/>
      <c r="G11" s="152"/>
    </row>
    <row r="12" spans="1:8" ht="16.5" customHeight="1" x14ac:dyDescent="0.25">
      <c r="A12" s="156"/>
      <c r="C12" s="152"/>
      <c r="D12" s="44"/>
      <c r="E12" s="152"/>
      <c r="F12" s="44"/>
      <c r="G12" s="152"/>
    </row>
    <row r="13" spans="1:8" ht="12.75" customHeight="1" x14ac:dyDescent="0.25">
      <c r="C13" s="44"/>
      <c r="D13" s="44"/>
      <c r="E13" s="44"/>
      <c r="F13" s="44"/>
      <c r="G13" s="44"/>
    </row>
    <row r="14" spans="1:8" ht="16.5" customHeight="1" x14ac:dyDescent="0.25">
      <c r="C14" s="44"/>
      <c r="D14" s="44"/>
      <c r="E14" s="44"/>
      <c r="F14" s="44"/>
      <c r="G14" s="44"/>
    </row>
    <row r="15" spans="1:8" ht="16.5" customHeight="1" x14ac:dyDescent="0.25">
      <c r="A15" s="145"/>
      <c r="C15" s="152"/>
      <c r="D15" s="44"/>
      <c r="E15" s="152"/>
      <c r="F15" s="44"/>
      <c r="G15" s="152"/>
      <c r="H15" s="153"/>
    </row>
    <row r="16" spans="1:8" ht="16.5" customHeight="1" x14ac:dyDescent="0.25">
      <c r="A16" s="145"/>
      <c r="C16" s="152"/>
      <c r="D16" s="44"/>
      <c r="E16" s="152"/>
      <c r="F16" s="44"/>
      <c r="G16" s="152"/>
      <c r="H16" s="153"/>
    </row>
    <row r="17" spans="1:8" ht="16.5" customHeight="1" x14ac:dyDescent="0.25">
      <c r="A17" s="145"/>
      <c r="C17" s="152"/>
      <c r="D17" s="44"/>
      <c r="E17" s="152"/>
      <c r="F17" s="44"/>
      <c r="G17" s="152"/>
      <c r="H17" s="153"/>
    </row>
    <row r="18" spans="1:8" ht="16.5" customHeight="1" x14ac:dyDescent="0.25">
      <c r="A18" s="145"/>
      <c r="C18" s="152"/>
      <c r="D18" s="44"/>
      <c r="E18" s="152"/>
      <c r="F18" s="44"/>
      <c r="G18" s="152"/>
      <c r="H18" s="153"/>
    </row>
    <row r="19" spans="1:8" ht="16.5" customHeight="1" x14ac:dyDescent="0.25">
      <c r="A19" s="145"/>
      <c r="C19" s="152"/>
      <c r="D19" s="44"/>
      <c r="E19" s="152"/>
      <c r="F19" s="44"/>
      <c r="G19" s="152"/>
      <c r="H19" s="152"/>
    </row>
    <row r="20" spans="1:8" ht="16.5" customHeight="1" x14ac:dyDescent="0.25">
      <c r="A20" s="145"/>
      <c r="C20" s="152"/>
      <c r="D20" s="44"/>
      <c r="E20" s="152"/>
      <c r="F20" s="44"/>
      <c r="G20" s="152"/>
      <c r="H20" s="153"/>
    </row>
    <row r="21" spans="1:8" ht="16.5" customHeight="1" x14ac:dyDescent="0.25">
      <c r="A21" s="145"/>
      <c r="C21" s="152"/>
      <c r="D21" s="44"/>
      <c r="E21" s="152"/>
      <c r="F21" s="44"/>
      <c r="G21" s="152"/>
      <c r="H21" s="153"/>
    </row>
    <row r="22" spans="1:8" ht="16.5" customHeight="1" x14ac:dyDescent="0.25">
      <c r="A22" s="145"/>
      <c r="C22" s="152"/>
      <c r="D22" s="44"/>
      <c r="E22" s="152"/>
      <c r="F22" s="44"/>
      <c r="G22" s="152"/>
      <c r="H22" s="153"/>
    </row>
    <row r="23" spans="1:8" ht="16.5" customHeight="1" x14ac:dyDescent="0.25">
      <c r="A23" s="145"/>
      <c r="C23" s="152"/>
      <c r="D23" s="44"/>
      <c r="E23" s="152"/>
      <c r="F23" s="44"/>
      <c r="G23" s="152"/>
      <c r="H23" s="153"/>
    </row>
    <row r="24" spans="1:8" ht="16.5" customHeight="1" x14ac:dyDescent="0.25">
      <c r="A24" s="145"/>
      <c r="C24" s="152"/>
      <c r="D24" s="44"/>
      <c r="E24" s="152"/>
      <c r="F24" s="44"/>
      <c r="G24" s="152"/>
      <c r="H24" s="153"/>
    </row>
    <row r="25" spans="1:8" ht="12.75" customHeight="1" x14ac:dyDescent="0.25">
      <c r="C25" s="155"/>
      <c r="D25" s="44"/>
      <c r="E25" s="155"/>
      <c r="F25" s="44"/>
      <c r="G25" s="155"/>
    </row>
    <row r="26" spans="1:8" ht="16.5" customHeight="1" x14ac:dyDescent="0.25">
      <c r="A26" s="156"/>
      <c r="C26" s="152"/>
      <c r="D26" s="44"/>
      <c r="E26" s="152"/>
      <c r="F26" s="44"/>
      <c r="G26" s="152"/>
    </row>
    <row r="27" spans="1:8" ht="12.75" customHeight="1" x14ac:dyDescent="0.25">
      <c r="C27" s="44"/>
      <c r="D27" s="44"/>
      <c r="E27" s="44"/>
      <c r="F27" s="44"/>
      <c r="G27" s="44"/>
    </row>
    <row r="28" spans="1:8" ht="16.5" customHeight="1" x14ac:dyDescent="0.25">
      <c r="A28" s="87"/>
      <c r="C28" s="152"/>
      <c r="D28" s="152"/>
      <c r="E28" s="152"/>
      <c r="F28" s="152"/>
      <c r="G28" s="152"/>
      <c r="H28" s="153"/>
    </row>
    <row r="29" spans="1:8" ht="12.75" customHeight="1" x14ac:dyDescent="0.25">
      <c r="C29" s="44"/>
      <c r="D29" s="44"/>
      <c r="E29" s="44"/>
      <c r="F29" s="44"/>
      <c r="G29" s="44"/>
    </row>
    <row r="30" spans="1:8" ht="16.5" customHeight="1" x14ac:dyDescent="0.25">
      <c r="C30" s="44"/>
      <c r="D30" s="44"/>
      <c r="E30" s="44"/>
      <c r="F30" s="44"/>
      <c r="G30" s="44"/>
    </row>
    <row r="31" spans="1:8" ht="16.5" customHeight="1" x14ac:dyDescent="0.25">
      <c r="A31" s="90"/>
      <c r="C31" s="152"/>
      <c r="D31" s="152"/>
      <c r="E31" s="152"/>
      <c r="F31" s="152"/>
      <c r="G31" s="152"/>
      <c r="H31" s="153"/>
    </row>
    <row r="32" spans="1:8" ht="16.5" customHeight="1" x14ac:dyDescent="0.25">
      <c r="A32" s="90"/>
      <c r="C32" s="152"/>
      <c r="D32" s="44"/>
      <c r="E32" s="152"/>
      <c r="F32" s="44"/>
      <c r="G32" s="152"/>
      <c r="H32" s="43"/>
    </row>
    <row r="33" spans="1:8" ht="16.5" customHeight="1" x14ac:dyDescent="0.25">
      <c r="A33" s="90"/>
      <c r="C33" s="152"/>
      <c r="D33" s="44"/>
      <c r="E33" s="152"/>
      <c r="F33" s="44"/>
      <c r="G33" s="152"/>
      <c r="H33" s="43"/>
    </row>
    <row r="34" spans="1:8" ht="16.5" customHeight="1" x14ac:dyDescent="0.25">
      <c r="A34" s="90"/>
      <c r="C34" s="152"/>
      <c r="D34" s="44"/>
      <c r="E34" s="152"/>
      <c r="F34" s="44"/>
      <c r="G34" s="152"/>
      <c r="H34" s="43"/>
    </row>
    <row r="35" spans="1:8" ht="12.75" customHeight="1" x14ac:dyDescent="0.25">
      <c r="C35" s="155"/>
      <c r="D35" s="44"/>
      <c r="E35" s="155"/>
      <c r="F35" s="44"/>
      <c r="G35" s="155"/>
    </row>
    <row r="36" spans="1:8" ht="16.5" customHeight="1" x14ac:dyDescent="0.25">
      <c r="A36" s="156"/>
      <c r="C36" s="152"/>
      <c r="D36" s="44"/>
      <c r="E36" s="152"/>
      <c r="F36" s="44"/>
      <c r="G36" s="152"/>
    </row>
    <row r="37" spans="1:8" ht="12.75" customHeight="1" x14ac:dyDescent="0.25">
      <c r="C37" s="44"/>
      <c r="D37" s="44"/>
      <c r="E37" s="44"/>
      <c r="F37" s="44"/>
      <c r="G37" s="44"/>
    </row>
    <row r="38" spans="1:8" ht="16.5" customHeight="1" x14ac:dyDescent="0.25">
      <c r="C38" s="44"/>
      <c r="D38" s="44"/>
      <c r="E38" s="44"/>
      <c r="F38" s="44"/>
      <c r="G38" s="44"/>
    </row>
    <row r="39" spans="1:8" ht="16.5" customHeight="1" x14ac:dyDescent="0.25">
      <c r="A39" s="90"/>
      <c r="C39" s="152"/>
      <c r="D39" s="44"/>
      <c r="E39" s="152"/>
      <c r="F39" s="44"/>
      <c r="G39" s="152"/>
      <c r="H39" s="43"/>
    </row>
    <row r="40" spans="1:8" ht="16.5" customHeight="1" x14ac:dyDescent="0.25">
      <c r="A40" s="90"/>
      <c r="C40" s="152"/>
      <c r="D40" s="44"/>
      <c r="E40" s="152"/>
      <c r="F40" s="44"/>
      <c r="G40" s="152"/>
      <c r="H40" s="43"/>
    </row>
    <row r="41" spans="1:8" ht="16.5" customHeight="1" x14ac:dyDescent="0.25">
      <c r="A41" s="90"/>
      <c r="C41" s="152"/>
      <c r="D41" s="44"/>
      <c r="E41" s="152"/>
      <c r="F41" s="44"/>
      <c r="G41" s="152"/>
      <c r="H41" s="43"/>
    </row>
    <row r="42" spans="1:8" ht="12.75" customHeight="1" x14ac:dyDescent="0.25">
      <c r="C42" s="44"/>
      <c r="D42" s="44"/>
      <c r="E42" s="44"/>
      <c r="F42" s="44"/>
      <c r="G42" s="44"/>
    </row>
    <row r="43" spans="1:8" ht="16.5" customHeight="1" x14ac:dyDescent="0.25">
      <c r="A43" s="156"/>
      <c r="C43" s="152"/>
      <c r="D43" s="44"/>
      <c r="E43" s="152"/>
      <c r="F43" s="44"/>
      <c r="G43" s="152"/>
    </row>
    <row r="44" spans="1:8" ht="12.75" customHeight="1" x14ac:dyDescent="0.25">
      <c r="C44" s="44"/>
      <c r="D44" s="44"/>
      <c r="E44" s="44"/>
      <c r="F44" s="44"/>
      <c r="G44" s="44"/>
    </row>
    <row r="45" spans="1:8" ht="16.5" customHeight="1" x14ac:dyDescent="0.25">
      <c r="C45" s="152"/>
      <c r="D45" s="46"/>
      <c r="E45" s="152"/>
      <c r="F45" s="46"/>
      <c r="G45" s="152"/>
      <c r="H45" s="142"/>
    </row>
    <row r="46" spans="1:8" ht="16.5" customHeight="1" x14ac:dyDescent="0.25">
      <c r="C46" s="152"/>
      <c r="D46" s="44"/>
      <c r="E46" s="152"/>
      <c r="F46" s="44"/>
      <c r="G46" s="152"/>
    </row>
    <row r="47" spans="1:8" ht="12.75" customHeight="1" x14ac:dyDescent="0.25">
      <c r="C47" s="44"/>
      <c r="D47" s="44"/>
      <c r="E47" s="44"/>
      <c r="F47" s="44"/>
      <c r="G47" s="44"/>
    </row>
    <row r="48" spans="1:8" ht="16.5" customHeight="1" x14ac:dyDescent="0.25">
      <c r="C48" s="46"/>
      <c r="D48" s="46"/>
      <c r="E48" s="46"/>
      <c r="F48" s="46"/>
      <c r="G48" s="46"/>
      <c r="H48" s="142"/>
    </row>
    <row r="49" spans="1:8" ht="12.75" customHeight="1" x14ac:dyDescent="0.25">
      <c r="C49" s="46"/>
      <c r="D49" s="44"/>
      <c r="E49" s="46"/>
      <c r="F49" s="44"/>
      <c r="G49" s="46"/>
    </row>
    <row r="50" spans="1:8" ht="16.5" customHeight="1" x14ac:dyDescent="0.25">
      <c r="A50" s="97"/>
      <c r="C50" s="46"/>
      <c r="D50" s="44"/>
      <c r="E50" s="46"/>
      <c r="F50" s="44"/>
      <c r="G50" s="46"/>
    </row>
    <row r="51" spans="1:8" ht="16.5" customHeight="1" x14ac:dyDescent="0.25">
      <c r="C51" s="46"/>
      <c r="D51" s="46"/>
      <c r="E51" s="46"/>
      <c r="F51" s="46"/>
      <c r="G51" s="46"/>
      <c r="H51" s="142"/>
    </row>
    <row r="52" spans="1:8" ht="16.5" customHeight="1" x14ac:dyDescent="0.25">
      <c r="C52" s="152"/>
      <c r="D52" s="44"/>
      <c r="E52" s="152"/>
      <c r="F52" s="44"/>
      <c r="G52" s="152"/>
    </row>
    <row r="53" spans="1:8" ht="12.75" customHeight="1" x14ac:dyDescent="0.25">
      <c r="C53" s="44"/>
      <c r="D53" s="44"/>
      <c r="E53" s="44"/>
      <c r="F53" s="44"/>
      <c r="G53" s="44"/>
    </row>
    <row r="54" spans="1:8" ht="16.5" customHeight="1" x14ac:dyDescent="0.25">
      <c r="A54" s="156"/>
      <c r="C54" s="46"/>
      <c r="D54" s="46"/>
      <c r="E54" s="46"/>
      <c r="F54" s="46"/>
      <c r="G54" s="46"/>
      <c r="H54" s="142"/>
    </row>
    <row r="55" spans="1:8" ht="16.5" customHeight="1" x14ac:dyDescent="0.25">
      <c r="F55" s="121"/>
    </row>
    <row r="56" spans="1:8" ht="16.5" customHeight="1" x14ac:dyDescent="0.25">
      <c r="F56" s="121"/>
    </row>
    <row r="57" spans="1:8" ht="16.5" customHeight="1" x14ac:dyDescent="0.25">
      <c r="F57" s="121"/>
    </row>
    <row r="58" spans="1:8" ht="16.5" customHeight="1" x14ac:dyDescent="0.25">
      <c r="F58" s="121"/>
    </row>
    <row r="59" spans="1:8" ht="16.5" customHeight="1" x14ac:dyDescent="0.25">
      <c r="A59" s="91"/>
      <c r="B59" s="91"/>
      <c r="C59" s="91"/>
      <c r="D59" s="91"/>
      <c r="E59" s="91"/>
      <c r="F59" s="118"/>
      <c r="G59" s="91"/>
      <c r="H59" s="91"/>
    </row>
    <row r="60" spans="1:8" ht="16.5" customHeight="1" x14ac:dyDescent="0.25">
      <c r="A60" s="91"/>
      <c r="B60" s="91"/>
      <c r="C60" s="91"/>
      <c r="D60" s="91"/>
      <c r="E60" s="91"/>
      <c r="F60" s="118"/>
      <c r="G60" s="91"/>
      <c r="H60" s="91"/>
    </row>
    <row r="61" spans="1:8" ht="16.5" customHeight="1" x14ac:dyDescent="0.25">
      <c r="A61" s="91"/>
      <c r="B61" s="91"/>
      <c r="C61" s="91"/>
      <c r="D61" s="91"/>
      <c r="E61" s="91"/>
      <c r="F61" s="91"/>
      <c r="G61" s="91"/>
      <c r="H61" s="91"/>
    </row>
    <row r="62" spans="1:8" ht="14.25" customHeight="1" x14ac:dyDescent="0.25">
      <c r="A62" s="91"/>
      <c r="B62" s="91"/>
      <c r="C62" s="91"/>
      <c r="D62" s="91"/>
      <c r="E62" s="91"/>
      <c r="F62" s="91"/>
      <c r="G62" s="91"/>
      <c r="H62" s="91"/>
    </row>
    <row r="63" spans="1:8" ht="16.5" customHeight="1" x14ac:dyDescent="0.25">
      <c r="A63" s="45">
        <f>'Financial Stmt Cash 2'!A65+1</f>
        <v>13</v>
      </c>
      <c r="B63" s="91"/>
      <c r="C63" s="91"/>
      <c r="D63" s="91"/>
      <c r="E63" s="91"/>
      <c r="F63" s="91"/>
      <c r="G63" s="91"/>
      <c r="H63" s="91"/>
    </row>
    <row r="64" spans="1:8" ht="16.5" customHeight="1" x14ac:dyDescent="0.25">
      <c r="A64" s="91"/>
      <c r="B64" s="91"/>
      <c r="C64" s="91"/>
      <c r="D64" s="91"/>
      <c r="E64" s="91"/>
      <c r="F64" s="91"/>
    </row>
    <row r="65" spans="1:8" ht="16.5" customHeight="1" x14ac:dyDescent="0.25">
      <c r="A65" s="104"/>
      <c r="B65" s="91"/>
      <c r="C65" s="180"/>
      <c r="D65" s="181"/>
      <c r="E65" s="180"/>
      <c r="F65" s="181"/>
      <c r="G65" s="180"/>
      <c r="H65" s="88"/>
    </row>
    <row r="66" spans="1:8" ht="16.5" customHeight="1" x14ac:dyDescent="0.25">
      <c r="A66" s="104"/>
      <c r="C66" s="88"/>
      <c r="D66" s="88"/>
      <c r="E66" s="88"/>
      <c r="F66" s="88"/>
      <c r="G66" s="88"/>
      <c r="H66" s="88"/>
    </row>
    <row r="67" spans="1:8" ht="16.5" customHeight="1" x14ac:dyDescent="0.25">
      <c r="F67" s="142"/>
    </row>
    <row r="69" spans="1:8" ht="16.5" customHeight="1" x14ac:dyDescent="0.25">
      <c r="F69" s="142"/>
    </row>
  </sheetData>
  <printOptions horizontalCentered="1"/>
  <pageMargins left="0.75" right="0.75" top="1" bottom="1" header="0.5" footer="0.5"/>
  <pageSetup scale="66" fitToWidth="0" fitToHeight="0" orientation="portrait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view="pageBreakPreview" topLeftCell="A16" zoomScale="80" zoomScaleNormal="100" zoomScaleSheetLayoutView="80" zoomScalePageLayoutView="80" workbookViewId="0">
      <selection activeCell="I15" sqref="I15"/>
    </sheetView>
  </sheetViews>
  <sheetFormatPr defaultColWidth="9.140625" defaultRowHeight="15.75" x14ac:dyDescent="0.25"/>
  <cols>
    <col min="1" max="1" width="29.5703125" style="96" customWidth="1"/>
    <col min="2" max="2" width="1.7109375" style="96" customWidth="1"/>
    <col min="3" max="3" width="12.7109375" style="96" customWidth="1"/>
    <col min="4" max="4" width="1.7109375" style="96" customWidth="1"/>
    <col min="5" max="5" width="12.7109375" style="96" bestFit="1" customWidth="1"/>
    <col min="6" max="6" width="1.7109375" style="96" customWidth="1"/>
    <col min="7" max="7" width="12.5703125" style="96" bestFit="1" customWidth="1"/>
    <col min="8" max="8" width="1.7109375" style="96" customWidth="1"/>
    <col min="9" max="9" width="13.140625" style="96" bestFit="1" customWidth="1"/>
    <col min="10" max="10" width="1.7109375" style="96" customWidth="1"/>
    <col min="11" max="11" width="13" style="96" customWidth="1"/>
    <col min="12" max="12" width="1.7109375" style="96" customWidth="1"/>
    <col min="13" max="13" width="13.140625" style="96" customWidth="1"/>
    <col min="14" max="14" width="1.7109375" style="96" customWidth="1"/>
    <col min="15" max="15" width="13.140625" style="96" customWidth="1"/>
    <col min="16" max="16" width="1.7109375" style="96" customWidth="1"/>
    <col min="17" max="17" width="13.140625" style="96" customWidth="1"/>
    <col min="18" max="18" width="1.7109375" style="96" customWidth="1"/>
    <col min="19" max="19" width="13.140625" style="96" customWidth="1"/>
    <col min="20" max="20" width="1.7109375" style="96" customWidth="1"/>
    <col min="21" max="21" width="13.140625" style="96" customWidth="1"/>
    <col min="22" max="22" width="1.7109375" style="96" customWidth="1"/>
    <col min="23" max="23" width="13" style="96" customWidth="1"/>
    <col min="24" max="24" width="1.28515625" style="96" customWidth="1"/>
    <col min="25" max="25" width="13.7109375" style="96" customWidth="1"/>
    <col min="26" max="16384" width="9.140625" style="96"/>
  </cols>
  <sheetData>
    <row r="1" spans="1:41" x14ac:dyDescent="0.25">
      <c r="A1" s="141" t="s">
        <v>117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O1" s="96">
        <v>8</v>
      </c>
    </row>
    <row r="2" spans="1:41" x14ac:dyDescent="0.25">
      <c r="A2" s="103"/>
    </row>
    <row r="3" spans="1:41" x14ac:dyDescent="0.25">
      <c r="A3" s="67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41" x14ac:dyDescent="0.25">
      <c r="A4" s="14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4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7" spans="1:41" x14ac:dyDescent="0.25">
      <c r="E7" s="16" t="s">
        <v>17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41" x14ac:dyDescent="0.25">
      <c r="A8" s="64" t="s">
        <v>49</v>
      </c>
      <c r="C8" s="108" t="s">
        <v>65</v>
      </c>
      <c r="E8" s="108">
        <f>'Cap Plan P1'!U8+1</f>
        <v>2028</v>
      </c>
      <c r="G8" s="133">
        <f>E8+1</f>
        <v>2029</v>
      </c>
      <c r="I8" s="133">
        <f>G8+1</f>
        <v>2030</v>
      </c>
      <c r="K8" s="133">
        <f>I8+1</f>
        <v>2031</v>
      </c>
      <c r="M8" s="133">
        <f>K8+1</f>
        <v>2032</v>
      </c>
      <c r="O8" s="133">
        <f>M8+1</f>
        <v>2033</v>
      </c>
      <c r="Q8" s="133">
        <f>O8+1</f>
        <v>2034</v>
      </c>
      <c r="S8" s="133">
        <f>Q8+1</f>
        <v>2035</v>
      </c>
      <c r="U8" s="133">
        <f>S8+1</f>
        <v>2036</v>
      </c>
      <c r="W8" s="133">
        <f>U8+1</f>
        <v>2037</v>
      </c>
      <c r="Y8" s="133" t="s">
        <v>1</v>
      </c>
    </row>
    <row r="10" spans="1:41" x14ac:dyDescent="0.25">
      <c r="A10" s="256" t="s">
        <v>135</v>
      </c>
      <c r="B10" s="134"/>
      <c r="C10" s="142">
        <f>'Cap Plan P1'!W10</f>
        <v>275000</v>
      </c>
      <c r="D10" s="134"/>
      <c r="E10" s="142"/>
      <c r="F10" s="142"/>
      <c r="G10" s="142"/>
      <c r="H10" s="142"/>
      <c r="I10" s="142">
        <v>50000</v>
      </c>
      <c r="J10" s="142"/>
      <c r="K10" s="142"/>
      <c r="L10" s="142"/>
      <c r="M10" s="142">
        <v>100000</v>
      </c>
      <c r="N10" s="142"/>
      <c r="O10" s="142"/>
      <c r="P10" s="142"/>
      <c r="Q10" s="142">
        <v>125000</v>
      </c>
      <c r="R10" s="142"/>
      <c r="S10" s="142">
        <v>100000</v>
      </c>
      <c r="T10" s="142"/>
      <c r="U10" s="142">
        <v>100000</v>
      </c>
      <c r="V10" s="142"/>
      <c r="W10" s="142">
        <v>100000</v>
      </c>
      <c r="X10" s="142"/>
      <c r="Y10" s="177">
        <f>SUM(C10:X10)</f>
        <v>850000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</row>
    <row r="11" spans="1:41" x14ac:dyDescent="0.25">
      <c r="A11" s="257"/>
      <c r="B11" s="134"/>
      <c r="C11" s="255"/>
      <c r="D11" s="13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134"/>
      <c r="Y11" s="255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</row>
    <row r="12" spans="1:41" ht="63" x14ac:dyDescent="0.25">
      <c r="A12" s="256" t="s">
        <v>134</v>
      </c>
      <c r="B12" s="134"/>
      <c r="C12" s="134">
        <f>'Cap Plan P1'!W12</f>
        <v>100000</v>
      </c>
      <c r="D12" s="134"/>
      <c r="E12" s="255">
        <v>10000</v>
      </c>
      <c r="F12" s="255"/>
      <c r="G12" s="255">
        <f>E12</f>
        <v>10000</v>
      </c>
      <c r="H12" s="255"/>
      <c r="I12" s="255">
        <f>G12</f>
        <v>10000</v>
      </c>
      <c r="J12" s="255"/>
      <c r="K12" s="255">
        <f>I12</f>
        <v>10000</v>
      </c>
      <c r="L12" s="255"/>
      <c r="M12" s="255">
        <f>K12</f>
        <v>10000</v>
      </c>
      <c r="N12" s="255"/>
      <c r="O12" s="255">
        <f>M12</f>
        <v>10000</v>
      </c>
      <c r="P12" s="255"/>
      <c r="Q12" s="255">
        <f>O12</f>
        <v>10000</v>
      </c>
      <c r="R12" s="255"/>
      <c r="S12" s="255">
        <f>Q12</f>
        <v>10000</v>
      </c>
      <c r="T12" s="255"/>
      <c r="U12" s="255">
        <f>S12</f>
        <v>10000</v>
      </c>
      <c r="V12" s="255"/>
      <c r="W12" s="255">
        <f>U12</f>
        <v>10000</v>
      </c>
      <c r="X12" s="134"/>
      <c r="Y12" s="255">
        <f>SUM(C12:X12)</f>
        <v>200000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</row>
    <row r="13" spans="1:41" x14ac:dyDescent="0.25">
      <c r="A13" s="258"/>
      <c r="B13" s="134"/>
      <c r="C13" s="134"/>
      <c r="D13" s="134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134"/>
      <c r="Y13" s="255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</row>
    <row r="14" spans="1:41" x14ac:dyDescent="0.25">
      <c r="A14" s="258" t="s">
        <v>133</v>
      </c>
      <c r="B14" s="134"/>
      <c r="C14" s="134">
        <f>'Cap Plan P1'!W14</f>
        <v>100000</v>
      </c>
      <c r="D14" s="134"/>
      <c r="E14" s="255"/>
      <c r="F14" s="255"/>
      <c r="G14" s="255">
        <v>50000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134"/>
      <c r="Y14" s="255">
        <f t="shared" ref="Y14:Y28" si="0">SUM(C14:X14)</f>
        <v>150000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</row>
    <row r="15" spans="1:41" x14ac:dyDescent="0.25">
      <c r="A15" s="258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255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</row>
    <row r="16" spans="1:41" x14ac:dyDescent="0.25">
      <c r="A16" s="258" t="s">
        <v>132</v>
      </c>
      <c r="B16" s="134"/>
      <c r="C16" s="134">
        <f>'Cap Plan P1'!W16</f>
        <v>400000</v>
      </c>
      <c r="D16" s="134"/>
      <c r="E16" s="255">
        <v>25000</v>
      </c>
      <c r="F16" s="255"/>
      <c r="G16" s="255"/>
      <c r="H16" s="255"/>
      <c r="I16" s="255"/>
      <c r="J16" s="255"/>
      <c r="K16" s="255">
        <v>100000</v>
      </c>
      <c r="L16" s="255"/>
      <c r="M16" s="255"/>
      <c r="N16" s="255"/>
      <c r="O16" s="255"/>
      <c r="P16" s="255"/>
      <c r="Q16" s="255">
        <v>25000</v>
      </c>
      <c r="R16" s="255"/>
      <c r="S16" s="255"/>
      <c r="T16" s="255"/>
      <c r="U16" s="255"/>
      <c r="V16" s="255"/>
      <c r="W16" s="255">
        <v>250000</v>
      </c>
      <c r="X16" s="134"/>
      <c r="Y16" s="255">
        <f t="shared" si="0"/>
        <v>800000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</row>
    <row r="17" spans="1:41" x14ac:dyDescent="0.25">
      <c r="A17" s="258"/>
      <c r="B17" s="134"/>
      <c r="C17" s="134"/>
      <c r="D17" s="13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134"/>
      <c r="Y17" s="255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</row>
    <row r="18" spans="1:41" ht="31.5" x14ac:dyDescent="0.25">
      <c r="A18" s="256" t="s">
        <v>131</v>
      </c>
      <c r="B18" s="134"/>
      <c r="C18" s="134">
        <f>'Cap Plan P1'!W18</f>
        <v>2000000</v>
      </c>
      <c r="D18" s="13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134"/>
      <c r="Y18" s="255">
        <f t="shared" si="0"/>
        <v>2000000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</row>
    <row r="19" spans="1:41" x14ac:dyDescent="0.25">
      <c r="A19" s="258"/>
      <c r="B19" s="134"/>
      <c r="C19" s="134"/>
      <c r="D19" s="134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134"/>
      <c r="Y19" s="255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</row>
    <row r="20" spans="1:41" ht="31.5" x14ac:dyDescent="0.25">
      <c r="A20" s="256" t="s">
        <v>130</v>
      </c>
      <c r="B20" s="134"/>
      <c r="C20" s="134">
        <f>'Cap Plan P1'!W20</f>
        <v>500000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255">
        <f t="shared" si="0"/>
        <v>500000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</row>
    <row r="21" spans="1:41" x14ac:dyDescent="0.25">
      <c r="A21" s="258"/>
      <c r="B21" s="134"/>
      <c r="C21" s="134"/>
      <c r="D21" s="13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134"/>
      <c r="Y21" s="255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</row>
    <row r="22" spans="1:41" x14ac:dyDescent="0.25">
      <c r="A22" s="258" t="s">
        <v>129</v>
      </c>
      <c r="B22" s="134"/>
      <c r="C22" s="134">
        <f>'Cap Plan P1'!W22</f>
        <v>75000</v>
      </c>
      <c r="D22" s="134"/>
      <c r="E22" s="255">
        <v>7500</v>
      </c>
      <c r="F22" s="255"/>
      <c r="G22" s="255">
        <f>E22</f>
        <v>7500</v>
      </c>
      <c r="H22" s="255"/>
      <c r="I22" s="255">
        <f>G22</f>
        <v>7500</v>
      </c>
      <c r="J22" s="255"/>
      <c r="K22" s="255">
        <f>I22</f>
        <v>7500</v>
      </c>
      <c r="L22" s="255"/>
      <c r="M22" s="255">
        <f>K22</f>
        <v>7500</v>
      </c>
      <c r="N22" s="255"/>
      <c r="O22" s="255">
        <f>M22</f>
        <v>7500</v>
      </c>
      <c r="P22" s="255"/>
      <c r="Q22" s="255">
        <f>O22</f>
        <v>7500</v>
      </c>
      <c r="R22" s="255"/>
      <c r="S22" s="255">
        <f>Q22</f>
        <v>7500</v>
      </c>
      <c r="T22" s="255"/>
      <c r="U22" s="255">
        <f>S22</f>
        <v>7500</v>
      </c>
      <c r="V22" s="255"/>
      <c r="W22" s="255">
        <f>U22</f>
        <v>7500</v>
      </c>
      <c r="X22" s="134"/>
      <c r="Y22" s="255">
        <f t="shared" si="0"/>
        <v>150000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</row>
    <row r="23" spans="1:41" x14ac:dyDescent="0.25">
      <c r="A23" s="258"/>
      <c r="B23" s="134"/>
      <c r="C23" s="134"/>
      <c r="D23" s="134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134"/>
      <c r="Y23" s="255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</row>
    <row r="24" spans="1:41" x14ac:dyDescent="0.25">
      <c r="A24" s="258" t="s">
        <v>128</v>
      </c>
      <c r="B24" s="134"/>
      <c r="C24" s="134">
        <f>'Cap Plan P1'!W24</f>
        <v>300000</v>
      </c>
      <c r="D24" s="13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>
        <v>100000</v>
      </c>
      <c r="X24" s="134"/>
      <c r="Y24" s="255">
        <f t="shared" si="0"/>
        <v>400000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</row>
    <row r="25" spans="1:41" x14ac:dyDescent="0.25">
      <c r="A25" s="258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255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</row>
    <row r="26" spans="1:41" ht="31.5" x14ac:dyDescent="0.25">
      <c r="A26" s="256" t="s">
        <v>127</v>
      </c>
      <c r="B26" s="134"/>
      <c r="C26" s="134">
        <v>0</v>
      </c>
      <c r="D26" s="134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134"/>
      <c r="Y26" s="255">
        <f t="shared" si="0"/>
        <v>0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</row>
    <row r="27" spans="1:41" x14ac:dyDescent="0.25">
      <c r="A27" s="258"/>
      <c r="B27" s="134"/>
      <c r="C27" s="134"/>
      <c r="D27" s="13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34"/>
      <c r="Y27" s="2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</row>
    <row r="28" spans="1:41" x14ac:dyDescent="0.25">
      <c r="A28" s="258" t="s">
        <v>126</v>
      </c>
      <c r="B28" s="134"/>
      <c r="C28" s="134">
        <f>'Cap Plan P1'!W28</f>
        <v>500000</v>
      </c>
      <c r="D28" s="134"/>
      <c r="E28" s="43">
        <v>50000</v>
      </c>
      <c r="F28" s="134"/>
      <c r="G28" s="255">
        <f>E28</f>
        <v>50000</v>
      </c>
      <c r="H28" s="255"/>
      <c r="I28" s="255">
        <f>G28</f>
        <v>50000</v>
      </c>
      <c r="J28" s="255"/>
      <c r="K28" s="255">
        <f>I28</f>
        <v>50000</v>
      </c>
      <c r="L28" s="255"/>
      <c r="M28" s="255">
        <f>K28</f>
        <v>50000</v>
      </c>
      <c r="N28" s="255"/>
      <c r="O28" s="255">
        <f>M28</f>
        <v>50000</v>
      </c>
      <c r="P28" s="255"/>
      <c r="Q28" s="255">
        <f>O28</f>
        <v>50000</v>
      </c>
      <c r="R28" s="255"/>
      <c r="S28" s="255">
        <f>Q28</f>
        <v>50000</v>
      </c>
      <c r="T28" s="255"/>
      <c r="U28" s="255">
        <f>S28</f>
        <v>50000</v>
      </c>
      <c r="V28" s="255"/>
      <c r="W28" s="255">
        <f>U28</f>
        <v>50000</v>
      </c>
      <c r="X28" s="134"/>
      <c r="Y28" s="255">
        <f t="shared" si="0"/>
        <v>1000000</v>
      </c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</row>
    <row r="29" spans="1:41" x14ac:dyDescent="0.25">
      <c r="A29" s="109"/>
      <c r="C29" s="137"/>
      <c r="D29" s="134"/>
      <c r="E29" s="137"/>
      <c r="F29" s="134"/>
      <c r="G29" s="137"/>
      <c r="H29" s="134"/>
      <c r="I29" s="137"/>
      <c r="J29" s="134"/>
      <c r="K29" s="137"/>
      <c r="L29" s="134"/>
      <c r="M29" s="137"/>
      <c r="N29" s="134"/>
      <c r="O29" s="137"/>
      <c r="P29" s="134"/>
      <c r="Q29" s="137"/>
      <c r="R29" s="134"/>
      <c r="S29" s="137"/>
      <c r="T29" s="134"/>
      <c r="U29" s="137"/>
      <c r="V29" s="134"/>
      <c r="W29" s="137"/>
      <c r="X29" s="134"/>
      <c r="Y29" s="137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</row>
    <row r="30" spans="1:41" x14ac:dyDescent="0.25">
      <c r="A30" s="109" t="s">
        <v>123</v>
      </c>
      <c r="C30" s="255">
        <f>SUM(C10:C29)</f>
        <v>4250000</v>
      </c>
      <c r="D30" s="255"/>
      <c r="E30" s="255">
        <f>SUM(E10:E29)</f>
        <v>92500</v>
      </c>
      <c r="F30" s="255"/>
      <c r="G30" s="255">
        <f>SUM(G10:G29)</f>
        <v>117500</v>
      </c>
      <c r="H30" s="255"/>
      <c r="I30" s="255">
        <f>SUM(I10:I29)</f>
        <v>117500</v>
      </c>
      <c r="J30" s="255"/>
      <c r="K30" s="255">
        <f>SUM(K10:K29)</f>
        <v>167500</v>
      </c>
      <c r="L30" s="255"/>
      <c r="M30" s="255">
        <f>SUM(M10:M29)</f>
        <v>167500</v>
      </c>
      <c r="N30" s="255"/>
      <c r="O30" s="255">
        <f>SUM(O10:O29)</f>
        <v>67500</v>
      </c>
      <c r="P30" s="255"/>
      <c r="Q30" s="255">
        <f>SUM(Q10:Q29)</f>
        <v>217500</v>
      </c>
      <c r="R30" s="255"/>
      <c r="S30" s="255">
        <f>SUM(S10:S29)</f>
        <v>167500</v>
      </c>
      <c r="T30" s="255"/>
      <c r="U30" s="255">
        <f>SUM(U10:U29)</f>
        <v>167500</v>
      </c>
      <c r="V30" s="134"/>
      <c r="W30" s="255">
        <f>SUM(W10:W29)</f>
        <v>517500</v>
      </c>
      <c r="X30" s="134"/>
      <c r="Y30" s="255">
        <f>SUM(Y10:Y29)</f>
        <v>6050000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</row>
    <row r="31" spans="1:41" x14ac:dyDescent="0.25">
      <c r="A31" s="109" t="s">
        <v>125</v>
      </c>
      <c r="C31" s="134">
        <f>'Cap Plan P1'!W31</f>
        <v>-3225000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>
        <f>SUM(C31:X31)</f>
        <v>-3225000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</row>
    <row r="32" spans="1:41" x14ac:dyDescent="0.25">
      <c r="A32" s="109"/>
      <c r="C32" s="137"/>
      <c r="D32" s="134"/>
      <c r="E32" s="137"/>
      <c r="F32" s="134"/>
      <c r="G32" s="137"/>
      <c r="H32" s="134"/>
      <c r="I32" s="137"/>
      <c r="J32" s="134"/>
      <c r="K32" s="137"/>
      <c r="L32" s="134"/>
      <c r="M32" s="137"/>
      <c r="N32" s="134"/>
      <c r="O32" s="137"/>
      <c r="P32" s="134"/>
      <c r="Q32" s="137"/>
      <c r="R32" s="134"/>
      <c r="S32" s="137"/>
      <c r="T32" s="134"/>
      <c r="U32" s="137"/>
      <c r="V32" s="134"/>
      <c r="W32" s="137"/>
      <c r="X32" s="134"/>
      <c r="Y32" s="137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</row>
    <row r="33" spans="1:41" ht="16.5" thickBot="1" x14ac:dyDescent="0.3">
      <c r="A33" s="109" t="s">
        <v>124</v>
      </c>
      <c r="C33" s="29">
        <f>SUM(C30:C32)</f>
        <v>1025000</v>
      </c>
      <c r="D33" s="142"/>
      <c r="E33" s="29">
        <f>SUM(E30:E32)</f>
        <v>92500</v>
      </c>
      <c r="F33" s="142"/>
      <c r="G33" s="29">
        <f>SUM(G30:G32)</f>
        <v>117500</v>
      </c>
      <c r="H33" s="142"/>
      <c r="I33" s="29">
        <f>SUM(I30:I32)</f>
        <v>117500</v>
      </c>
      <c r="J33" s="142"/>
      <c r="K33" s="29">
        <f>SUM(K30:K32)</f>
        <v>167500</v>
      </c>
      <c r="L33" s="142"/>
      <c r="M33" s="29">
        <f>SUM(M30:M32)</f>
        <v>167500</v>
      </c>
      <c r="N33" s="142"/>
      <c r="O33" s="29">
        <f>SUM(O30:O32)</f>
        <v>67500</v>
      </c>
      <c r="P33" s="142"/>
      <c r="Q33" s="29">
        <f>SUM(Q30:Q32)</f>
        <v>217500</v>
      </c>
      <c r="R33" s="142"/>
      <c r="S33" s="29">
        <f>SUM(S30:S32)</f>
        <v>167500</v>
      </c>
      <c r="T33" s="142"/>
      <c r="U33" s="29">
        <f>SUM(U30:U32)</f>
        <v>167500</v>
      </c>
      <c r="V33" s="142"/>
      <c r="W33" s="29">
        <f>SUM(W30:W32)</f>
        <v>517500</v>
      </c>
      <c r="X33" s="134"/>
      <c r="Y33" s="29">
        <f>SUM(Y30:Y32)</f>
        <v>2825000</v>
      </c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</row>
    <row r="34" spans="1:41" ht="16.5" thickTop="1" x14ac:dyDescent="0.25"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</row>
    <row r="35" spans="1:41" ht="16.5" thickBot="1" x14ac:dyDescent="0.3">
      <c r="A35" s="109" t="s">
        <v>207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X35" s="134"/>
      <c r="Y35" s="29">
        <f>ROUND(Y33/20,-2)</f>
        <v>141300</v>
      </c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</row>
    <row r="36" spans="1:41" ht="16.5" thickTop="1" x14ac:dyDescent="0.25">
      <c r="A36" s="119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</row>
    <row r="37" spans="1:41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43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</row>
    <row r="38" spans="1:41" x14ac:dyDescent="0.25">
      <c r="A38" s="134" t="s">
        <v>136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</row>
    <row r="39" spans="1:41" x14ac:dyDescent="0.2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</row>
    <row r="40" spans="1:41" x14ac:dyDescent="0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4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</row>
    <row r="42" spans="1:4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</row>
    <row r="43" spans="1:4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</row>
    <row r="44" spans="1:4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</row>
    <row r="45" spans="1:41" x14ac:dyDescent="0.25">
      <c r="A45" s="45">
        <f>'Cap Plan P1'!A46+1</f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</row>
    <row r="46" spans="1:41" x14ac:dyDescent="0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</row>
    <row r="47" spans="1:41" x14ac:dyDescent="0.2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</row>
  </sheetData>
  <printOptions horizontalCentered="1"/>
  <pageMargins left="0.25" right="0.25" top="0.75" bottom="0.75" header="0.3" footer="0.3"/>
  <pageSetup scale="6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3"/>
  <sheetViews>
    <sheetView showWhiteSpace="0" view="pageBreakPreview" zoomScale="80" zoomScaleNormal="100" zoomScaleSheetLayoutView="80" zoomScalePageLayoutView="70" workbookViewId="0">
      <selection activeCell="O18" sqref="O18"/>
    </sheetView>
  </sheetViews>
  <sheetFormatPr defaultColWidth="15.7109375" defaultRowHeight="15.75" x14ac:dyDescent="0.25"/>
  <cols>
    <col min="1" max="1" width="9.42578125" style="1" bestFit="1" customWidth="1"/>
    <col min="2" max="2" width="2.5703125" style="1" customWidth="1"/>
    <col min="3" max="3" width="8.85546875" style="1" customWidth="1"/>
    <col min="4" max="4" width="2.5703125" style="1" customWidth="1"/>
    <col min="5" max="5" width="9.42578125" style="1" bestFit="1" customWidth="1"/>
    <col min="6" max="6" width="2.5703125" style="1" customWidth="1"/>
    <col min="7" max="7" width="8.5703125" style="1" bestFit="1" customWidth="1"/>
    <col min="8" max="8" width="2.5703125" style="1" customWidth="1"/>
    <col min="9" max="9" width="14.85546875" style="1" customWidth="1"/>
    <col min="10" max="10" width="2.5703125" style="1" customWidth="1"/>
    <col min="11" max="11" width="15.85546875" style="1" customWidth="1"/>
    <col min="12" max="12" width="2.5703125" style="1" customWidth="1"/>
    <col min="13" max="13" width="15.28515625" style="1" customWidth="1"/>
    <col min="14" max="14" width="7.28515625" style="1" bestFit="1" customWidth="1"/>
    <col min="15" max="15" width="32.85546875" style="1" customWidth="1"/>
    <col min="16" max="16" width="25.140625" style="1" bestFit="1" customWidth="1"/>
    <col min="17" max="16384" width="15.7109375" style="1"/>
  </cols>
  <sheetData>
    <row r="1" spans="1:27" x14ac:dyDescent="0.25">
      <c r="A1" s="141" t="str">
        <f>'Cap Plan P1'!A1</f>
        <v>ANYTOWN WATER UTILITY/SEWAGE WORKS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187"/>
      <c r="P1" s="188"/>
    </row>
    <row r="2" spans="1:27" x14ac:dyDescent="0.25">
      <c r="A2" s="103"/>
      <c r="I2" s="82"/>
      <c r="M2" s="80"/>
      <c r="O2" s="44"/>
      <c r="P2" s="44"/>
      <c r="AA2" s="1">
        <v>5</v>
      </c>
    </row>
    <row r="3" spans="1:27" x14ac:dyDescent="0.25">
      <c r="A3" s="39" t="s">
        <v>170</v>
      </c>
      <c r="B3" s="5"/>
      <c r="C3" s="18"/>
      <c r="D3" s="5"/>
      <c r="E3" s="18"/>
      <c r="F3" s="5"/>
      <c r="G3" s="37"/>
      <c r="H3" s="5"/>
      <c r="I3" s="38"/>
      <c r="J3" s="5"/>
      <c r="K3" s="38"/>
      <c r="L3" s="5"/>
      <c r="M3" s="38"/>
      <c r="N3" s="33"/>
      <c r="O3" s="189"/>
      <c r="P3" s="251">
        <v>3500000</v>
      </c>
    </row>
    <row r="4" spans="1:27" x14ac:dyDescent="0.25">
      <c r="A4" s="39" t="s">
        <v>137</v>
      </c>
      <c r="B4" s="4"/>
      <c r="C4" s="26"/>
      <c r="D4" s="4"/>
      <c r="E4" s="26"/>
      <c r="F4" s="4"/>
      <c r="G4" s="35"/>
      <c r="H4" s="4"/>
      <c r="I4" s="27"/>
      <c r="J4" s="4"/>
      <c r="K4" s="27"/>
      <c r="L4" s="4"/>
      <c r="M4" s="38"/>
      <c r="N4" s="33"/>
      <c r="O4" s="155"/>
      <c r="P4" s="252">
        <v>0.03</v>
      </c>
      <c r="U4" s="80"/>
    </row>
    <row r="5" spans="1:27" x14ac:dyDescent="0.25">
      <c r="A5" s="36"/>
      <c r="B5" s="4"/>
      <c r="C5" s="26"/>
      <c r="D5" s="4"/>
      <c r="E5" s="26"/>
      <c r="F5" s="4"/>
      <c r="G5" s="35"/>
      <c r="H5" s="4"/>
      <c r="I5" s="27"/>
      <c r="J5" s="4"/>
      <c r="K5" s="27"/>
      <c r="L5" s="4"/>
      <c r="M5" s="27"/>
      <c r="N5" s="33"/>
      <c r="O5" s="155"/>
      <c r="P5" s="192"/>
    </row>
    <row r="6" spans="1:27" x14ac:dyDescent="0.25">
      <c r="A6" s="36"/>
      <c r="B6" s="4"/>
      <c r="C6" s="26"/>
      <c r="D6" s="4"/>
      <c r="E6" s="26"/>
      <c r="F6" s="4"/>
      <c r="G6" s="35"/>
      <c r="H6" s="4"/>
      <c r="I6" s="27"/>
      <c r="J6" s="4"/>
      <c r="K6" s="27"/>
      <c r="L6" s="4"/>
      <c r="M6" s="27"/>
      <c r="N6" s="33"/>
      <c r="O6" s="155"/>
      <c r="P6" s="192"/>
    </row>
    <row r="7" spans="1:27" x14ac:dyDescent="0.25">
      <c r="G7" s="127"/>
      <c r="N7" s="33"/>
      <c r="O7" s="155"/>
      <c r="P7" s="193"/>
      <c r="S7" s="40"/>
      <c r="T7" s="81"/>
      <c r="V7" s="32"/>
      <c r="W7" s="32"/>
    </row>
    <row r="8" spans="1:27" x14ac:dyDescent="0.25">
      <c r="A8" s="127" t="s">
        <v>4</v>
      </c>
      <c r="B8" s="19"/>
      <c r="C8" s="128" t="s">
        <v>5</v>
      </c>
      <c r="D8" s="19"/>
      <c r="F8" s="19"/>
      <c r="G8" s="85" t="s">
        <v>3</v>
      </c>
      <c r="H8" s="19"/>
      <c r="I8" s="16" t="s">
        <v>6</v>
      </c>
      <c r="J8" s="16"/>
      <c r="K8" s="16"/>
      <c r="L8" s="19"/>
      <c r="M8" s="127" t="s">
        <v>7</v>
      </c>
      <c r="N8" s="33"/>
      <c r="O8" s="155"/>
      <c r="P8" s="47"/>
      <c r="S8" s="40"/>
      <c r="T8" s="81"/>
      <c r="U8" s="32"/>
      <c r="V8" s="32"/>
      <c r="W8" s="32"/>
      <c r="X8" s="32"/>
    </row>
    <row r="9" spans="1:27" x14ac:dyDescent="0.25">
      <c r="A9" s="127" t="s">
        <v>0</v>
      </c>
      <c r="B9" s="19"/>
      <c r="C9" s="133" t="s">
        <v>10</v>
      </c>
      <c r="D9" s="19"/>
      <c r="E9" s="8" t="s">
        <v>5</v>
      </c>
      <c r="F9" s="19"/>
      <c r="G9" s="127" t="s">
        <v>11</v>
      </c>
      <c r="H9" s="19"/>
      <c r="I9" s="127" t="s">
        <v>72</v>
      </c>
      <c r="J9" s="19"/>
      <c r="K9" s="127" t="s">
        <v>73</v>
      </c>
      <c r="L9" s="19"/>
      <c r="M9" s="127" t="s">
        <v>8</v>
      </c>
      <c r="N9" s="33"/>
      <c r="O9" s="43"/>
      <c r="P9" s="47"/>
      <c r="S9" s="40"/>
      <c r="T9" s="81"/>
      <c r="V9" s="32"/>
      <c r="W9" s="32"/>
    </row>
    <row r="10" spans="1:27" x14ac:dyDescent="0.25">
      <c r="A10" s="20"/>
      <c r="B10" s="19"/>
      <c r="C10" s="4" t="s">
        <v>71</v>
      </c>
      <c r="D10" s="4"/>
      <c r="E10" s="4"/>
      <c r="F10" s="19"/>
      <c r="G10" s="22" t="s">
        <v>9</v>
      </c>
      <c r="H10" s="19"/>
      <c r="I10" s="21" t="s">
        <v>55</v>
      </c>
      <c r="J10" s="4"/>
      <c r="K10" s="21"/>
      <c r="L10" s="4"/>
      <c r="M10" s="21"/>
      <c r="N10" s="33"/>
      <c r="O10" s="44"/>
      <c r="P10" s="44"/>
      <c r="S10" s="40"/>
      <c r="T10" s="81"/>
      <c r="U10" s="32"/>
      <c r="V10" s="32"/>
      <c r="W10" s="32"/>
      <c r="X10" s="32"/>
    </row>
    <row r="11" spans="1:27" s="96" customFormat="1" x14ac:dyDescent="0.25">
      <c r="A11" s="55"/>
      <c r="B11" s="52"/>
      <c r="C11" s="91"/>
      <c r="D11" s="91"/>
      <c r="E11" s="91"/>
      <c r="F11" s="52"/>
      <c r="G11" s="99"/>
      <c r="H11" s="52"/>
      <c r="I11" s="260"/>
      <c r="J11" s="91"/>
      <c r="K11" s="260"/>
      <c r="L11" s="91"/>
      <c r="M11" s="260"/>
      <c r="N11" s="33"/>
      <c r="O11" s="44"/>
      <c r="P11" s="44"/>
      <c r="S11" s="40"/>
      <c r="T11" s="82"/>
      <c r="U11" s="32"/>
      <c r="V11" s="32"/>
      <c r="W11" s="32"/>
      <c r="X11" s="32"/>
    </row>
    <row r="12" spans="1:27" x14ac:dyDescent="0.25">
      <c r="A12" s="78">
        <v>43282</v>
      </c>
      <c r="B12" s="19"/>
      <c r="C12" s="173">
        <v>2955</v>
      </c>
      <c r="D12" s="19"/>
      <c r="E12" s="173">
        <f t="shared" ref="E12:E43" si="0">O12/1000</f>
        <v>70</v>
      </c>
      <c r="F12" s="19"/>
      <c r="G12" s="129">
        <f t="shared" ref="G12:G42" si="1">$P$4*100</f>
        <v>3</v>
      </c>
      <c r="H12" s="19"/>
      <c r="I12" s="120">
        <f t="shared" ref="I12:I40" si="2">ROUND((+E12*G12*10)/2+I13,2)</f>
        <v>44325</v>
      </c>
      <c r="J12" s="19"/>
      <c r="K12" s="120">
        <f t="shared" ref="K12:K41" si="3">E12*1000+I12</f>
        <v>114325</v>
      </c>
      <c r="L12" s="19"/>
      <c r="M12" s="121"/>
      <c r="N12" s="33"/>
      <c r="O12" s="183">
        <v>70000</v>
      </c>
      <c r="P12" s="43"/>
      <c r="Q12" s="44"/>
      <c r="R12" s="44"/>
      <c r="S12" s="40"/>
      <c r="T12" s="81"/>
      <c r="U12" s="32"/>
      <c r="V12" s="32"/>
      <c r="W12" s="32"/>
      <c r="X12" s="32"/>
    </row>
    <row r="13" spans="1:27" x14ac:dyDescent="0.25">
      <c r="A13" s="78">
        <v>43466</v>
      </c>
      <c r="B13" s="19"/>
      <c r="C13" s="139">
        <f>C12-E12</f>
        <v>2885</v>
      </c>
      <c r="D13" s="19"/>
      <c r="E13" s="139">
        <f t="shared" si="0"/>
        <v>75</v>
      </c>
      <c r="F13" s="19"/>
      <c r="G13" s="129">
        <f t="shared" si="1"/>
        <v>3</v>
      </c>
      <c r="H13" s="19"/>
      <c r="I13" s="76">
        <f t="shared" si="2"/>
        <v>43275</v>
      </c>
      <c r="J13" s="19"/>
      <c r="K13" s="76">
        <f t="shared" si="3"/>
        <v>118275</v>
      </c>
      <c r="L13" s="19"/>
      <c r="M13" s="121">
        <f>K13+K12</f>
        <v>232600</v>
      </c>
      <c r="N13" s="33"/>
      <c r="O13" s="183">
        <v>75000</v>
      </c>
      <c r="P13" s="43"/>
      <c r="Q13" s="44"/>
      <c r="R13" s="44"/>
      <c r="S13" s="40"/>
      <c r="T13" s="81"/>
      <c r="V13" s="32"/>
      <c r="W13" s="32"/>
    </row>
    <row r="14" spans="1:27" x14ac:dyDescent="0.25">
      <c r="A14" s="78">
        <v>43647</v>
      </c>
      <c r="B14" s="19"/>
      <c r="C14" s="139">
        <f t="shared" ref="C14:C39" si="4">C13-E13</f>
        <v>2810</v>
      </c>
      <c r="D14" s="19"/>
      <c r="E14" s="139">
        <f t="shared" si="0"/>
        <v>75</v>
      </c>
      <c r="F14" s="19"/>
      <c r="G14" s="129">
        <f t="shared" si="1"/>
        <v>3</v>
      </c>
      <c r="H14" s="19"/>
      <c r="I14" s="76">
        <f t="shared" si="2"/>
        <v>42150</v>
      </c>
      <c r="J14" s="19"/>
      <c r="K14" s="76">
        <f t="shared" si="3"/>
        <v>117150</v>
      </c>
      <c r="L14" s="19"/>
      <c r="M14" s="126"/>
      <c r="N14" s="33"/>
      <c r="O14" s="183">
        <v>75000</v>
      </c>
      <c r="P14" s="43"/>
      <c r="Q14" s="44"/>
      <c r="R14" s="44"/>
      <c r="S14" s="40"/>
      <c r="T14" s="81"/>
      <c r="U14" s="32"/>
      <c r="V14" s="32"/>
      <c r="W14" s="32"/>
      <c r="X14" s="32"/>
    </row>
    <row r="15" spans="1:27" x14ac:dyDescent="0.25">
      <c r="A15" s="78">
        <v>43831</v>
      </c>
      <c r="B15" s="19"/>
      <c r="C15" s="139">
        <f t="shared" si="4"/>
        <v>2735</v>
      </c>
      <c r="D15" s="19"/>
      <c r="E15" s="139">
        <f t="shared" si="0"/>
        <v>75</v>
      </c>
      <c r="F15" s="19"/>
      <c r="G15" s="129">
        <f t="shared" si="1"/>
        <v>3</v>
      </c>
      <c r="H15" s="19"/>
      <c r="I15" s="76">
        <f t="shared" si="2"/>
        <v>41025</v>
      </c>
      <c r="J15" s="19"/>
      <c r="K15" s="76">
        <f t="shared" si="3"/>
        <v>116025</v>
      </c>
      <c r="L15" s="19"/>
      <c r="M15" s="126">
        <f t="shared" ref="M15:M43" si="5">K15+K14</f>
        <v>233175</v>
      </c>
      <c r="N15" s="33"/>
      <c r="O15" s="183">
        <v>75000</v>
      </c>
      <c r="P15" s="43"/>
      <c r="Q15" s="44"/>
      <c r="R15" s="44"/>
      <c r="S15" s="40"/>
      <c r="T15" s="81"/>
      <c r="V15" s="32"/>
      <c r="W15" s="32"/>
    </row>
    <row r="16" spans="1:27" x14ac:dyDescent="0.25">
      <c r="A16" s="78">
        <v>44013</v>
      </c>
      <c r="B16" s="19"/>
      <c r="C16" s="139">
        <f t="shared" si="4"/>
        <v>2660</v>
      </c>
      <c r="D16" s="19"/>
      <c r="E16" s="139">
        <f t="shared" si="0"/>
        <v>75</v>
      </c>
      <c r="F16" s="19"/>
      <c r="G16" s="129">
        <f t="shared" si="1"/>
        <v>3</v>
      </c>
      <c r="H16" s="19"/>
      <c r="I16" s="76">
        <f t="shared" si="2"/>
        <v>39900</v>
      </c>
      <c r="J16" s="19"/>
      <c r="K16" s="76">
        <f t="shared" si="3"/>
        <v>114900</v>
      </c>
      <c r="L16" s="19"/>
      <c r="M16" s="126"/>
      <c r="N16" s="33"/>
      <c r="O16" s="183">
        <v>75000</v>
      </c>
      <c r="P16" s="43"/>
      <c r="Q16" s="44"/>
      <c r="R16" s="44"/>
      <c r="S16" s="40"/>
      <c r="T16" s="81"/>
      <c r="U16" s="32"/>
      <c r="V16" s="32"/>
      <c r="W16" s="32"/>
      <c r="X16" s="32"/>
    </row>
    <row r="17" spans="1:24" x14ac:dyDescent="0.25">
      <c r="A17" s="78">
        <v>44197</v>
      </c>
      <c r="B17" s="19"/>
      <c r="C17" s="139">
        <f t="shared" si="4"/>
        <v>2585</v>
      </c>
      <c r="D17" s="19"/>
      <c r="E17" s="139">
        <f t="shared" si="0"/>
        <v>80</v>
      </c>
      <c r="F17" s="19"/>
      <c r="G17" s="129">
        <f t="shared" si="1"/>
        <v>3</v>
      </c>
      <c r="H17" s="19"/>
      <c r="I17" s="76">
        <f t="shared" si="2"/>
        <v>38775</v>
      </c>
      <c r="J17" s="19"/>
      <c r="K17" s="76">
        <f t="shared" si="3"/>
        <v>118775</v>
      </c>
      <c r="L17" s="19"/>
      <c r="M17" s="126">
        <f t="shared" si="5"/>
        <v>233675</v>
      </c>
      <c r="N17" s="33"/>
      <c r="O17" s="183">
        <v>80000</v>
      </c>
      <c r="P17" s="43"/>
      <c r="Q17" s="44"/>
      <c r="R17" s="44"/>
      <c r="S17" s="40"/>
      <c r="T17" s="81"/>
      <c r="V17" s="32"/>
      <c r="W17" s="32"/>
    </row>
    <row r="18" spans="1:24" x14ac:dyDescent="0.25">
      <c r="A18" s="78">
        <v>44378</v>
      </c>
      <c r="B18" s="19"/>
      <c r="C18" s="139">
        <f t="shared" si="4"/>
        <v>2505</v>
      </c>
      <c r="D18" s="19"/>
      <c r="E18" s="139">
        <f t="shared" si="0"/>
        <v>80</v>
      </c>
      <c r="F18" s="19"/>
      <c r="G18" s="129">
        <f t="shared" si="1"/>
        <v>3</v>
      </c>
      <c r="H18" s="19"/>
      <c r="I18" s="76">
        <f t="shared" si="2"/>
        <v>37575</v>
      </c>
      <c r="J18" s="19"/>
      <c r="K18" s="76">
        <f t="shared" si="3"/>
        <v>117575</v>
      </c>
      <c r="L18" s="19"/>
      <c r="M18" s="126"/>
      <c r="N18" s="33"/>
      <c r="O18" s="183">
        <v>80000</v>
      </c>
      <c r="P18" s="43"/>
      <c r="Q18" s="44"/>
      <c r="R18" s="44"/>
      <c r="S18" s="40"/>
      <c r="T18" s="81"/>
      <c r="U18" s="32"/>
      <c r="V18" s="32"/>
      <c r="W18" s="32"/>
      <c r="X18" s="32"/>
    </row>
    <row r="19" spans="1:24" x14ac:dyDescent="0.25">
      <c r="A19" s="78">
        <v>44562</v>
      </c>
      <c r="B19" s="19"/>
      <c r="C19" s="139">
        <f t="shared" si="4"/>
        <v>2425</v>
      </c>
      <c r="D19" s="19"/>
      <c r="E19" s="139">
        <f t="shared" si="0"/>
        <v>80</v>
      </c>
      <c r="F19" s="19"/>
      <c r="G19" s="129">
        <f t="shared" si="1"/>
        <v>3</v>
      </c>
      <c r="H19" s="19"/>
      <c r="I19" s="76">
        <f t="shared" si="2"/>
        <v>36375</v>
      </c>
      <c r="J19" s="19"/>
      <c r="K19" s="76">
        <f t="shared" si="3"/>
        <v>116375</v>
      </c>
      <c r="L19" s="19"/>
      <c r="M19" s="126">
        <f t="shared" si="5"/>
        <v>233950</v>
      </c>
      <c r="N19" s="33"/>
      <c r="O19" s="183">
        <v>80000</v>
      </c>
      <c r="P19" s="43"/>
      <c r="Q19" s="44"/>
      <c r="R19" s="44"/>
      <c r="S19" s="40"/>
      <c r="T19" s="81"/>
      <c r="V19" s="32"/>
    </row>
    <row r="20" spans="1:24" x14ac:dyDescent="0.25">
      <c r="A20" s="78">
        <v>44743</v>
      </c>
      <c r="B20" s="19"/>
      <c r="C20" s="139">
        <f t="shared" si="4"/>
        <v>2345</v>
      </c>
      <c r="D20" s="19"/>
      <c r="E20" s="139">
        <f t="shared" si="0"/>
        <v>80</v>
      </c>
      <c r="F20" s="19"/>
      <c r="G20" s="129">
        <f t="shared" si="1"/>
        <v>3</v>
      </c>
      <c r="H20" s="19"/>
      <c r="I20" s="76">
        <f t="shared" si="2"/>
        <v>35175</v>
      </c>
      <c r="J20" s="19"/>
      <c r="K20" s="76">
        <f t="shared" si="3"/>
        <v>115175</v>
      </c>
      <c r="L20" s="19"/>
      <c r="M20" s="126"/>
      <c r="N20" s="33"/>
      <c r="O20" s="183">
        <v>80000</v>
      </c>
      <c r="P20" s="43"/>
      <c r="Q20" s="44"/>
      <c r="R20" s="44"/>
      <c r="S20" s="40"/>
      <c r="T20" s="81"/>
      <c r="U20" s="32"/>
      <c r="V20" s="32"/>
    </row>
    <row r="21" spans="1:24" x14ac:dyDescent="0.25">
      <c r="A21" s="78">
        <v>44927</v>
      </c>
      <c r="B21" s="19"/>
      <c r="C21" s="139">
        <f t="shared" si="4"/>
        <v>2265</v>
      </c>
      <c r="D21" s="19"/>
      <c r="E21" s="139">
        <f t="shared" si="0"/>
        <v>85</v>
      </c>
      <c r="F21" s="19"/>
      <c r="G21" s="129">
        <f t="shared" si="1"/>
        <v>3</v>
      </c>
      <c r="H21" s="19"/>
      <c r="I21" s="76">
        <f t="shared" si="2"/>
        <v>33975</v>
      </c>
      <c r="J21" s="19"/>
      <c r="K21" s="76">
        <f t="shared" si="3"/>
        <v>118975</v>
      </c>
      <c r="L21" s="19"/>
      <c r="M21" s="126">
        <f t="shared" si="5"/>
        <v>234150</v>
      </c>
      <c r="N21" s="33"/>
      <c r="O21" s="183">
        <v>85000</v>
      </c>
      <c r="P21" s="43"/>
      <c r="Q21" s="44"/>
      <c r="R21" s="44"/>
      <c r="S21" s="40"/>
      <c r="T21" s="81"/>
      <c r="V21" s="32"/>
    </row>
    <row r="22" spans="1:24" x14ac:dyDescent="0.25">
      <c r="A22" s="78">
        <v>45108</v>
      </c>
      <c r="B22" s="19"/>
      <c r="C22" s="139">
        <f t="shared" si="4"/>
        <v>2180</v>
      </c>
      <c r="D22" s="19"/>
      <c r="E22" s="139">
        <f t="shared" si="0"/>
        <v>85</v>
      </c>
      <c r="F22" s="19"/>
      <c r="G22" s="129">
        <f t="shared" si="1"/>
        <v>3</v>
      </c>
      <c r="H22" s="19"/>
      <c r="I22" s="76">
        <f t="shared" si="2"/>
        <v>32700</v>
      </c>
      <c r="J22" s="19"/>
      <c r="K22" s="76">
        <f t="shared" si="3"/>
        <v>117700</v>
      </c>
      <c r="L22" s="19"/>
      <c r="M22" s="126"/>
      <c r="N22" s="33"/>
      <c r="O22" s="183">
        <v>85000</v>
      </c>
      <c r="P22" s="43"/>
      <c r="Q22" s="44"/>
      <c r="R22" s="44"/>
      <c r="S22" s="40"/>
      <c r="T22" s="81"/>
      <c r="U22" s="32"/>
      <c r="V22" s="32"/>
    </row>
    <row r="23" spans="1:24" x14ac:dyDescent="0.25">
      <c r="A23" s="78">
        <v>45292</v>
      </c>
      <c r="B23" s="19"/>
      <c r="C23" s="139">
        <f t="shared" si="4"/>
        <v>2095</v>
      </c>
      <c r="D23" s="139"/>
      <c r="E23" s="139">
        <f t="shared" si="0"/>
        <v>85</v>
      </c>
      <c r="F23" s="19"/>
      <c r="G23" s="129">
        <f t="shared" si="1"/>
        <v>3</v>
      </c>
      <c r="H23" s="19"/>
      <c r="I23" s="76">
        <f t="shared" si="2"/>
        <v>31425</v>
      </c>
      <c r="J23" s="120"/>
      <c r="K23" s="76">
        <f t="shared" si="3"/>
        <v>116425</v>
      </c>
      <c r="L23" s="120"/>
      <c r="M23" s="126">
        <f t="shared" si="5"/>
        <v>234125</v>
      </c>
      <c r="N23" s="33"/>
      <c r="O23" s="183">
        <v>85000</v>
      </c>
      <c r="P23" s="43"/>
      <c r="Q23" s="44"/>
      <c r="R23" s="44"/>
      <c r="S23" s="40"/>
      <c r="T23" s="81"/>
      <c r="V23" s="32"/>
    </row>
    <row r="24" spans="1:24" x14ac:dyDescent="0.25">
      <c r="A24" s="78">
        <v>45474</v>
      </c>
      <c r="B24" s="19"/>
      <c r="C24" s="139">
        <f t="shared" si="4"/>
        <v>2010</v>
      </c>
      <c r="D24" s="19"/>
      <c r="E24" s="139">
        <f t="shared" si="0"/>
        <v>85</v>
      </c>
      <c r="F24" s="19"/>
      <c r="G24" s="129">
        <f t="shared" si="1"/>
        <v>3</v>
      </c>
      <c r="H24" s="19"/>
      <c r="I24" s="76">
        <f t="shared" si="2"/>
        <v>30150</v>
      </c>
      <c r="J24" s="19"/>
      <c r="K24" s="76">
        <f t="shared" si="3"/>
        <v>115150</v>
      </c>
      <c r="L24" s="19"/>
      <c r="M24" s="126"/>
      <c r="N24" s="33"/>
      <c r="O24" s="183">
        <v>85000</v>
      </c>
      <c r="P24" s="43"/>
      <c r="Q24" s="44"/>
      <c r="R24" s="44"/>
      <c r="S24" s="40"/>
      <c r="T24" s="81"/>
      <c r="U24" s="32"/>
      <c r="V24" s="32"/>
    </row>
    <row r="25" spans="1:24" x14ac:dyDescent="0.25">
      <c r="A25" s="78">
        <v>45658</v>
      </c>
      <c r="B25" s="19"/>
      <c r="C25" s="139">
        <f t="shared" si="4"/>
        <v>1925</v>
      </c>
      <c r="D25" s="19"/>
      <c r="E25" s="139">
        <f t="shared" si="0"/>
        <v>90</v>
      </c>
      <c r="F25" s="19"/>
      <c r="G25" s="129">
        <f t="shared" si="1"/>
        <v>3</v>
      </c>
      <c r="H25" s="19"/>
      <c r="I25" s="76">
        <f t="shared" si="2"/>
        <v>28875</v>
      </c>
      <c r="J25" s="19"/>
      <c r="K25" s="76">
        <f t="shared" si="3"/>
        <v>118875</v>
      </c>
      <c r="L25" s="19"/>
      <c r="M25" s="126">
        <f t="shared" si="5"/>
        <v>234025</v>
      </c>
      <c r="N25" s="33"/>
      <c r="O25" s="183">
        <v>90000</v>
      </c>
      <c r="P25" s="43"/>
      <c r="Q25" s="44"/>
      <c r="R25" s="44"/>
      <c r="S25" s="40"/>
      <c r="T25" s="81"/>
      <c r="V25" s="32"/>
    </row>
    <row r="26" spans="1:24" x14ac:dyDescent="0.25">
      <c r="A26" s="78">
        <v>45839</v>
      </c>
      <c r="B26" s="19"/>
      <c r="C26" s="139">
        <f t="shared" si="4"/>
        <v>1835</v>
      </c>
      <c r="D26" s="19"/>
      <c r="E26" s="139">
        <f t="shared" si="0"/>
        <v>90</v>
      </c>
      <c r="F26" s="19"/>
      <c r="G26" s="129">
        <f t="shared" si="1"/>
        <v>3</v>
      </c>
      <c r="H26" s="19"/>
      <c r="I26" s="76">
        <f t="shared" si="2"/>
        <v>27525</v>
      </c>
      <c r="J26" s="19"/>
      <c r="K26" s="76">
        <f t="shared" si="3"/>
        <v>117525</v>
      </c>
      <c r="L26" s="19"/>
      <c r="M26" s="126"/>
      <c r="N26" s="33"/>
      <c r="O26" s="183">
        <v>90000</v>
      </c>
      <c r="P26" s="43"/>
      <c r="Q26" s="44"/>
      <c r="R26" s="44"/>
      <c r="S26" s="40"/>
      <c r="T26" s="81"/>
      <c r="U26" s="32"/>
      <c r="V26" s="32"/>
    </row>
    <row r="27" spans="1:24" x14ac:dyDescent="0.25">
      <c r="A27" s="78">
        <v>46023</v>
      </c>
      <c r="B27" s="19"/>
      <c r="C27" s="139">
        <f t="shared" si="4"/>
        <v>1745</v>
      </c>
      <c r="D27" s="19"/>
      <c r="E27" s="139">
        <f t="shared" si="0"/>
        <v>90</v>
      </c>
      <c r="F27" s="19"/>
      <c r="G27" s="129">
        <f t="shared" si="1"/>
        <v>3</v>
      </c>
      <c r="H27" s="19"/>
      <c r="I27" s="76">
        <f t="shared" si="2"/>
        <v>26175</v>
      </c>
      <c r="J27" s="19"/>
      <c r="K27" s="76">
        <f t="shared" si="3"/>
        <v>116175</v>
      </c>
      <c r="L27" s="19"/>
      <c r="M27" s="126">
        <f t="shared" si="5"/>
        <v>233700</v>
      </c>
      <c r="N27" s="33"/>
      <c r="O27" s="183">
        <v>90000</v>
      </c>
      <c r="P27" s="43"/>
      <c r="Q27" s="44"/>
      <c r="R27" s="44"/>
      <c r="S27" s="40"/>
      <c r="T27" s="81"/>
      <c r="V27" s="32"/>
    </row>
    <row r="28" spans="1:24" x14ac:dyDescent="0.25">
      <c r="A28" s="78">
        <v>46204</v>
      </c>
      <c r="B28" s="19"/>
      <c r="C28" s="139">
        <f t="shared" si="4"/>
        <v>1655</v>
      </c>
      <c r="D28" s="19"/>
      <c r="E28" s="139">
        <f t="shared" si="0"/>
        <v>90</v>
      </c>
      <c r="F28" s="19"/>
      <c r="G28" s="129">
        <f t="shared" si="1"/>
        <v>3</v>
      </c>
      <c r="H28" s="19"/>
      <c r="I28" s="76">
        <f t="shared" si="2"/>
        <v>24825</v>
      </c>
      <c r="J28" s="19"/>
      <c r="K28" s="76">
        <f t="shared" si="3"/>
        <v>114825</v>
      </c>
      <c r="L28" s="19"/>
      <c r="M28" s="126"/>
      <c r="N28" s="33"/>
      <c r="O28" s="183">
        <v>90000</v>
      </c>
      <c r="P28" s="43"/>
      <c r="Q28" s="44"/>
      <c r="R28" s="44"/>
      <c r="S28" s="40"/>
      <c r="T28" s="81"/>
      <c r="U28" s="32"/>
      <c r="V28" s="32"/>
    </row>
    <row r="29" spans="1:24" x14ac:dyDescent="0.25">
      <c r="A29" s="78">
        <v>46388</v>
      </c>
      <c r="B29" s="19"/>
      <c r="C29" s="139">
        <f t="shared" si="4"/>
        <v>1565</v>
      </c>
      <c r="D29" s="19"/>
      <c r="E29" s="139">
        <f t="shared" si="0"/>
        <v>95</v>
      </c>
      <c r="F29" s="19"/>
      <c r="G29" s="129">
        <f t="shared" si="1"/>
        <v>3</v>
      </c>
      <c r="H29" s="19"/>
      <c r="I29" s="76">
        <f t="shared" si="2"/>
        <v>23475</v>
      </c>
      <c r="J29" s="19"/>
      <c r="K29" s="76">
        <f t="shared" si="3"/>
        <v>118475</v>
      </c>
      <c r="L29" s="19"/>
      <c r="M29" s="126">
        <f t="shared" si="5"/>
        <v>233300</v>
      </c>
      <c r="N29" s="33"/>
      <c r="O29" s="183">
        <v>95000</v>
      </c>
      <c r="P29" s="43"/>
      <c r="Q29" s="44"/>
      <c r="R29" s="44"/>
      <c r="S29" s="40"/>
      <c r="T29" s="81"/>
      <c r="V29" s="32"/>
    </row>
    <row r="30" spans="1:24" x14ac:dyDescent="0.25">
      <c r="A30" s="78">
        <v>46569</v>
      </c>
      <c r="B30" s="19"/>
      <c r="C30" s="139">
        <f t="shared" si="4"/>
        <v>1470</v>
      </c>
      <c r="D30" s="19"/>
      <c r="E30" s="139">
        <f t="shared" si="0"/>
        <v>95</v>
      </c>
      <c r="F30" s="19"/>
      <c r="G30" s="129">
        <f t="shared" si="1"/>
        <v>3</v>
      </c>
      <c r="H30" s="19"/>
      <c r="I30" s="76">
        <f t="shared" si="2"/>
        <v>22050</v>
      </c>
      <c r="J30" s="19"/>
      <c r="K30" s="76">
        <f t="shared" si="3"/>
        <v>117050</v>
      </c>
      <c r="L30" s="19"/>
      <c r="M30" s="126"/>
      <c r="N30" s="33"/>
      <c r="O30" s="183">
        <v>95000</v>
      </c>
      <c r="P30" s="43"/>
      <c r="Q30" s="44"/>
      <c r="R30" s="44"/>
      <c r="S30" s="40"/>
      <c r="T30" s="81"/>
      <c r="U30" s="32"/>
      <c r="V30" s="32"/>
    </row>
    <row r="31" spans="1:24" x14ac:dyDescent="0.25">
      <c r="A31" s="78">
        <v>46753</v>
      </c>
      <c r="B31" s="19"/>
      <c r="C31" s="139">
        <f t="shared" si="4"/>
        <v>1375</v>
      </c>
      <c r="D31" s="19"/>
      <c r="E31" s="139">
        <f t="shared" si="0"/>
        <v>95</v>
      </c>
      <c r="F31" s="19"/>
      <c r="G31" s="129">
        <f t="shared" si="1"/>
        <v>3</v>
      </c>
      <c r="H31" s="19"/>
      <c r="I31" s="76">
        <f t="shared" si="2"/>
        <v>20625</v>
      </c>
      <c r="J31" s="19"/>
      <c r="K31" s="76">
        <f t="shared" si="3"/>
        <v>115625</v>
      </c>
      <c r="L31" s="19"/>
      <c r="M31" s="126">
        <f t="shared" si="5"/>
        <v>232675</v>
      </c>
      <c r="N31" s="33"/>
      <c r="O31" s="183">
        <v>95000</v>
      </c>
      <c r="P31" s="43"/>
      <c r="Q31" s="44"/>
      <c r="R31" s="44"/>
      <c r="S31" s="40"/>
      <c r="T31" s="81"/>
      <c r="U31" s="32"/>
      <c r="V31" s="32"/>
    </row>
    <row r="32" spans="1:24" x14ac:dyDescent="0.25">
      <c r="A32" s="78">
        <v>46935</v>
      </c>
      <c r="B32" s="19"/>
      <c r="C32" s="139">
        <f t="shared" si="4"/>
        <v>1280</v>
      </c>
      <c r="D32" s="19"/>
      <c r="E32" s="139">
        <f t="shared" si="0"/>
        <v>100</v>
      </c>
      <c r="F32" s="19"/>
      <c r="G32" s="129">
        <f t="shared" si="1"/>
        <v>3</v>
      </c>
      <c r="H32" s="19"/>
      <c r="I32" s="76">
        <f t="shared" si="2"/>
        <v>19200</v>
      </c>
      <c r="J32" s="19"/>
      <c r="K32" s="76">
        <f t="shared" si="3"/>
        <v>119200</v>
      </c>
      <c r="L32" s="19"/>
      <c r="M32" s="126"/>
      <c r="N32" s="33"/>
      <c r="O32" s="183">
        <v>100000</v>
      </c>
      <c r="P32" s="43"/>
      <c r="Q32" s="44"/>
      <c r="R32" s="44"/>
      <c r="S32" s="40"/>
      <c r="T32" s="81"/>
      <c r="U32" s="32"/>
      <c r="V32" s="32"/>
    </row>
    <row r="33" spans="1:22" x14ac:dyDescent="0.25">
      <c r="A33" s="78">
        <v>47119</v>
      </c>
      <c r="B33" s="19"/>
      <c r="C33" s="139">
        <f t="shared" si="4"/>
        <v>1180</v>
      </c>
      <c r="D33" s="19"/>
      <c r="E33" s="139">
        <f t="shared" si="0"/>
        <v>100</v>
      </c>
      <c r="F33" s="19"/>
      <c r="G33" s="129">
        <f t="shared" si="1"/>
        <v>3</v>
      </c>
      <c r="H33" s="19"/>
      <c r="I33" s="76">
        <f t="shared" si="2"/>
        <v>17700</v>
      </c>
      <c r="J33" s="19"/>
      <c r="K33" s="76">
        <f t="shared" si="3"/>
        <v>117700</v>
      </c>
      <c r="L33" s="19"/>
      <c r="M33" s="126">
        <f t="shared" si="5"/>
        <v>236900</v>
      </c>
      <c r="N33" s="33"/>
      <c r="O33" s="183">
        <v>100000</v>
      </c>
      <c r="P33" s="43"/>
      <c r="Q33" s="44"/>
      <c r="R33" s="44"/>
      <c r="S33" s="40"/>
      <c r="T33" s="81"/>
      <c r="U33" s="32"/>
      <c r="V33" s="32"/>
    </row>
    <row r="34" spans="1:22" x14ac:dyDescent="0.25">
      <c r="A34" s="78">
        <v>47300</v>
      </c>
      <c r="B34" s="19"/>
      <c r="C34" s="139">
        <f t="shared" si="4"/>
        <v>1080</v>
      </c>
      <c r="D34" s="19"/>
      <c r="E34" s="139">
        <f t="shared" si="0"/>
        <v>100</v>
      </c>
      <c r="F34" s="19"/>
      <c r="G34" s="129">
        <f t="shared" si="1"/>
        <v>3</v>
      </c>
      <c r="H34" s="19"/>
      <c r="I34" s="76">
        <f t="shared" si="2"/>
        <v>16200</v>
      </c>
      <c r="J34" s="19"/>
      <c r="K34" s="76">
        <f t="shared" si="3"/>
        <v>116200</v>
      </c>
      <c r="L34" s="19"/>
      <c r="M34" s="126"/>
      <c r="N34" s="33"/>
      <c r="O34" s="183">
        <v>100000</v>
      </c>
      <c r="P34" s="43"/>
      <c r="Q34" s="44"/>
      <c r="R34" s="44"/>
    </row>
    <row r="35" spans="1:22" x14ac:dyDescent="0.25">
      <c r="A35" s="78">
        <v>47484</v>
      </c>
      <c r="B35" s="19"/>
      <c r="C35" s="139">
        <f t="shared" si="4"/>
        <v>980</v>
      </c>
      <c r="D35" s="19"/>
      <c r="E35" s="139">
        <f t="shared" si="0"/>
        <v>100</v>
      </c>
      <c r="F35" s="19"/>
      <c r="G35" s="129">
        <f t="shared" si="1"/>
        <v>3</v>
      </c>
      <c r="H35" s="19"/>
      <c r="I35" s="76">
        <f t="shared" si="2"/>
        <v>14700</v>
      </c>
      <c r="J35" s="19"/>
      <c r="K35" s="76">
        <f t="shared" si="3"/>
        <v>114700</v>
      </c>
      <c r="L35" s="19"/>
      <c r="M35" s="126">
        <f t="shared" si="5"/>
        <v>230900</v>
      </c>
      <c r="N35" s="33"/>
      <c r="O35" s="183">
        <v>100000</v>
      </c>
      <c r="P35" s="43"/>
      <c r="Q35" s="44"/>
      <c r="R35" s="44"/>
    </row>
    <row r="36" spans="1:22" x14ac:dyDescent="0.25">
      <c r="A36" s="78">
        <v>47665</v>
      </c>
      <c r="B36" s="19"/>
      <c r="C36" s="139">
        <f t="shared" si="4"/>
        <v>880</v>
      </c>
      <c r="D36" s="19"/>
      <c r="E36" s="139">
        <f t="shared" si="0"/>
        <v>105</v>
      </c>
      <c r="F36" s="19"/>
      <c r="G36" s="129">
        <f t="shared" si="1"/>
        <v>3</v>
      </c>
      <c r="H36" s="19"/>
      <c r="I36" s="76">
        <f t="shared" si="2"/>
        <v>13200</v>
      </c>
      <c r="J36" s="19"/>
      <c r="K36" s="76">
        <f t="shared" si="3"/>
        <v>118200</v>
      </c>
      <c r="L36" s="19"/>
      <c r="M36" s="126"/>
      <c r="N36" s="33"/>
      <c r="O36" s="183">
        <v>105000</v>
      </c>
      <c r="P36" s="43"/>
      <c r="Q36" s="44"/>
      <c r="R36" s="44"/>
    </row>
    <row r="37" spans="1:22" x14ac:dyDescent="0.25">
      <c r="A37" s="78">
        <v>47849</v>
      </c>
      <c r="B37" s="19"/>
      <c r="C37" s="139">
        <f t="shared" si="4"/>
        <v>775</v>
      </c>
      <c r="D37" s="19"/>
      <c r="E37" s="139">
        <f t="shared" si="0"/>
        <v>105</v>
      </c>
      <c r="F37" s="19"/>
      <c r="G37" s="129">
        <f t="shared" si="1"/>
        <v>3</v>
      </c>
      <c r="H37" s="19"/>
      <c r="I37" s="76">
        <f t="shared" si="2"/>
        <v>11625</v>
      </c>
      <c r="J37" s="19"/>
      <c r="K37" s="76">
        <f t="shared" si="3"/>
        <v>116625</v>
      </c>
      <c r="L37" s="19"/>
      <c r="M37" s="126">
        <f t="shared" si="5"/>
        <v>234825</v>
      </c>
      <c r="N37" s="33"/>
      <c r="O37" s="183">
        <v>105000</v>
      </c>
      <c r="P37" s="43"/>
      <c r="Q37" s="44"/>
      <c r="R37" s="44"/>
    </row>
    <row r="38" spans="1:22" x14ac:dyDescent="0.25">
      <c r="A38" s="78">
        <v>48030</v>
      </c>
      <c r="B38" s="19"/>
      <c r="C38" s="139">
        <f t="shared" si="4"/>
        <v>670</v>
      </c>
      <c r="D38" s="19"/>
      <c r="E38" s="139">
        <f t="shared" si="0"/>
        <v>105</v>
      </c>
      <c r="F38" s="19"/>
      <c r="G38" s="129">
        <f t="shared" si="1"/>
        <v>3</v>
      </c>
      <c r="H38" s="19"/>
      <c r="I38" s="76">
        <f t="shared" si="2"/>
        <v>10050</v>
      </c>
      <c r="J38" s="19"/>
      <c r="K38" s="76">
        <f t="shared" si="3"/>
        <v>115050</v>
      </c>
      <c r="L38" s="19"/>
      <c r="M38" s="126"/>
      <c r="N38" s="33"/>
      <c r="O38" s="183">
        <v>105000</v>
      </c>
      <c r="P38" s="43"/>
      <c r="Q38" s="44"/>
      <c r="R38" s="44"/>
    </row>
    <row r="39" spans="1:22" x14ac:dyDescent="0.25">
      <c r="A39" s="78">
        <v>48214</v>
      </c>
      <c r="B39" s="19"/>
      <c r="C39" s="139">
        <f t="shared" si="4"/>
        <v>565</v>
      </c>
      <c r="D39" s="19"/>
      <c r="E39" s="139">
        <f t="shared" si="0"/>
        <v>110</v>
      </c>
      <c r="F39" s="19"/>
      <c r="G39" s="129">
        <f t="shared" si="1"/>
        <v>3</v>
      </c>
      <c r="H39" s="19"/>
      <c r="I39" s="76">
        <f t="shared" si="2"/>
        <v>8475</v>
      </c>
      <c r="J39" s="19"/>
      <c r="K39" s="76">
        <f t="shared" si="3"/>
        <v>118475</v>
      </c>
      <c r="L39" s="19"/>
      <c r="M39" s="126">
        <f t="shared" si="5"/>
        <v>233525</v>
      </c>
      <c r="N39" s="33"/>
      <c r="O39" s="183">
        <v>110000</v>
      </c>
      <c r="P39" s="43"/>
      <c r="Q39" s="44"/>
      <c r="R39" s="44"/>
    </row>
    <row r="40" spans="1:22" s="96" customFormat="1" x14ac:dyDescent="0.25">
      <c r="A40" s="78">
        <v>48396</v>
      </c>
      <c r="B40" s="52"/>
      <c r="C40" s="139">
        <f>C39-E39</f>
        <v>455</v>
      </c>
      <c r="D40" s="52"/>
      <c r="E40" s="139">
        <f t="shared" si="0"/>
        <v>110</v>
      </c>
      <c r="F40" s="52"/>
      <c r="G40" s="129">
        <f t="shared" si="1"/>
        <v>3</v>
      </c>
      <c r="H40" s="52"/>
      <c r="I40" s="76">
        <f t="shared" si="2"/>
        <v>6825</v>
      </c>
      <c r="J40" s="52"/>
      <c r="K40" s="76">
        <f t="shared" si="3"/>
        <v>116825</v>
      </c>
      <c r="L40" s="52"/>
      <c r="M40" s="126"/>
      <c r="N40" s="33"/>
      <c r="O40" s="183">
        <v>110000</v>
      </c>
      <c r="P40" s="43"/>
      <c r="Q40" s="44"/>
      <c r="R40" s="44"/>
    </row>
    <row r="41" spans="1:22" x14ac:dyDescent="0.25">
      <c r="A41" s="78">
        <v>48580</v>
      </c>
      <c r="B41" s="19"/>
      <c r="C41" s="139">
        <f t="shared" ref="C41:C43" si="6">C40-E40</f>
        <v>345</v>
      </c>
      <c r="D41" s="19"/>
      <c r="E41" s="139">
        <f t="shared" si="0"/>
        <v>110</v>
      </c>
      <c r="F41" s="19"/>
      <c r="G41" s="129">
        <f t="shared" si="1"/>
        <v>3</v>
      </c>
      <c r="H41" s="19"/>
      <c r="I41" s="76">
        <f>ROUND((+E41*G41*10)/2+I42,2)</f>
        <v>5175</v>
      </c>
      <c r="J41" s="19"/>
      <c r="K41" s="76">
        <f t="shared" si="3"/>
        <v>115175</v>
      </c>
      <c r="L41" s="19"/>
      <c r="M41" s="126">
        <f t="shared" si="5"/>
        <v>232000</v>
      </c>
      <c r="N41" s="33"/>
      <c r="O41" s="155">
        <v>110000</v>
      </c>
      <c r="P41" s="43"/>
      <c r="Q41" s="44"/>
      <c r="R41" s="44"/>
    </row>
    <row r="42" spans="1:22" x14ac:dyDescent="0.25">
      <c r="A42" s="78">
        <v>48761</v>
      </c>
      <c r="B42" s="19"/>
      <c r="C42" s="139">
        <f t="shared" si="6"/>
        <v>235</v>
      </c>
      <c r="D42" s="19"/>
      <c r="E42" s="139">
        <f t="shared" si="0"/>
        <v>115</v>
      </c>
      <c r="F42" s="19"/>
      <c r="G42" s="129">
        <f t="shared" si="1"/>
        <v>3</v>
      </c>
      <c r="H42" s="19"/>
      <c r="I42" s="76">
        <f>ROUND((+E42*G42*10)/2+I43,2)</f>
        <v>3525</v>
      </c>
      <c r="J42" s="19"/>
      <c r="K42" s="76">
        <f>E42*1000+I42</f>
        <v>118525</v>
      </c>
      <c r="L42" s="19"/>
      <c r="M42" s="126"/>
      <c r="N42" s="33"/>
      <c r="O42" s="185">
        <v>115000</v>
      </c>
      <c r="P42" s="43"/>
      <c r="Q42" s="44"/>
      <c r="R42" s="44"/>
    </row>
    <row r="43" spans="1:22" s="96" customFormat="1" x14ac:dyDescent="0.25">
      <c r="A43" s="78">
        <v>12420</v>
      </c>
      <c r="B43" s="52"/>
      <c r="C43" s="139">
        <f t="shared" si="6"/>
        <v>120</v>
      </c>
      <c r="D43" s="52"/>
      <c r="E43" s="139">
        <f t="shared" si="0"/>
        <v>120</v>
      </c>
      <c r="F43" s="52"/>
      <c r="G43" s="129">
        <v>3</v>
      </c>
      <c r="H43" s="52"/>
      <c r="I43" s="76">
        <f>ROUND((+E43*G43*10)/2+I44,2)</f>
        <v>1800</v>
      </c>
      <c r="J43" s="52"/>
      <c r="K43" s="76">
        <f>E43*1000+I43</f>
        <v>121800</v>
      </c>
      <c r="L43" s="52"/>
      <c r="M43" s="126">
        <f t="shared" si="5"/>
        <v>240325</v>
      </c>
      <c r="N43" s="33"/>
      <c r="O43" s="185">
        <v>120000</v>
      </c>
      <c r="P43" s="43"/>
      <c r="Q43" s="44"/>
      <c r="R43" s="44"/>
    </row>
    <row r="44" spans="1:22" x14ac:dyDescent="0.25">
      <c r="A44" s="78"/>
      <c r="B44" s="19"/>
      <c r="C44" s="25"/>
      <c r="D44" s="19"/>
      <c r="E44" s="131"/>
      <c r="F44" s="19"/>
      <c r="G44" s="3"/>
      <c r="H44" s="19"/>
      <c r="I44" s="132"/>
      <c r="J44" s="19"/>
      <c r="K44" s="132"/>
      <c r="L44" s="19"/>
      <c r="M44" s="130"/>
      <c r="N44" s="33"/>
      <c r="P44" s="43"/>
      <c r="Q44" s="44"/>
      <c r="R44" s="44"/>
    </row>
    <row r="45" spans="1:22" ht="16.5" thickBot="1" x14ac:dyDescent="0.3">
      <c r="A45" s="78"/>
      <c r="B45" s="19"/>
      <c r="C45" s="25"/>
      <c r="D45" s="19"/>
      <c r="E45" s="174">
        <f>SUBTOTAL(109,E12:E44)</f>
        <v>2955</v>
      </c>
      <c r="F45" s="19"/>
      <c r="G45" s="3"/>
      <c r="H45" s="19"/>
      <c r="I45" s="175">
        <f>SUBTOTAL(109,I12:I44)</f>
        <v>788850</v>
      </c>
      <c r="J45" s="120"/>
      <c r="K45" s="175">
        <f>SUBTOTAL(109,K12:K44)</f>
        <v>3743850</v>
      </c>
      <c r="L45" s="120"/>
      <c r="M45" s="175">
        <f>SUBTOTAL(109,M12:M44)</f>
        <v>3743850</v>
      </c>
      <c r="N45" s="33"/>
      <c r="P45" s="43"/>
      <c r="Q45" s="44"/>
      <c r="R45" s="44"/>
    </row>
    <row r="46" spans="1:22" ht="16.5" thickTop="1" x14ac:dyDescent="0.25">
      <c r="A46" s="78"/>
      <c r="B46" s="19"/>
      <c r="C46" s="25"/>
      <c r="D46" s="19"/>
      <c r="E46" s="140"/>
      <c r="F46" s="19"/>
      <c r="G46" s="3"/>
      <c r="H46" s="19"/>
      <c r="I46" s="140"/>
      <c r="J46" s="19"/>
      <c r="K46" s="140"/>
      <c r="L46" s="19"/>
      <c r="M46" s="140"/>
      <c r="N46" s="33"/>
      <c r="O46" s="155"/>
      <c r="P46" s="43"/>
      <c r="Q46" s="44"/>
      <c r="R46" s="44"/>
    </row>
    <row r="47" spans="1:22" x14ac:dyDescent="0.25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O47" s="155"/>
      <c r="P47" s="44"/>
      <c r="Q47" s="44"/>
      <c r="R47" s="44"/>
    </row>
    <row r="48" spans="1:22" x14ac:dyDescent="0.25">
      <c r="A48" s="26">
        <f>'Cap Plan P2'!A45+1</f>
        <v>3</v>
      </c>
      <c r="B48" s="4"/>
      <c r="C48" s="42"/>
      <c r="D48" s="4"/>
      <c r="E48" s="42"/>
      <c r="F48" s="4"/>
      <c r="G48" s="113"/>
      <c r="H48" s="4"/>
      <c r="I48" s="42"/>
      <c r="J48" s="4"/>
      <c r="K48" s="42"/>
      <c r="L48" s="4"/>
      <c r="M48" s="42"/>
      <c r="O48" s="155"/>
      <c r="P48" s="44"/>
      <c r="Q48" s="44"/>
      <c r="R48" s="44"/>
    </row>
    <row r="49" spans="1:18" x14ac:dyDescent="0.25">
      <c r="A49" s="116"/>
      <c r="C49" s="76"/>
      <c r="E49" s="76"/>
      <c r="G49" s="77"/>
      <c r="I49" s="76"/>
      <c r="K49" s="76"/>
      <c r="M49" s="76"/>
      <c r="O49" s="155"/>
      <c r="P49" s="44"/>
      <c r="Q49" s="44"/>
      <c r="R49" s="44"/>
    </row>
    <row r="50" spans="1:18" x14ac:dyDescent="0.25">
      <c r="A50" s="116"/>
      <c r="B50" s="4"/>
      <c r="C50" s="76"/>
      <c r="D50" s="4"/>
      <c r="E50" s="76"/>
      <c r="F50" s="4"/>
      <c r="G50" s="77"/>
      <c r="H50" s="4"/>
      <c r="I50" s="76"/>
      <c r="J50" s="4"/>
      <c r="K50" s="76"/>
      <c r="L50" s="4"/>
      <c r="M50" s="76"/>
      <c r="O50" s="47"/>
      <c r="P50" s="44"/>
      <c r="Q50" s="44"/>
      <c r="R50" s="44"/>
    </row>
    <row r="51" spans="1:18" x14ac:dyDescent="0.25">
      <c r="A51" s="78"/>
      <c r="B51" s="4"/>
      <c r="C51" s="76"/>
      <c r="D51" s="4"/>
      <c r="E51" s="76"/>
      <c r="F51" s="4"/>
      <c r="G51" s="77"/>
      <c r="H51" s="4"/>
      <c r="I51" s="76"/>
      <c r="J51" s="4"/>
      <c r="K51" s="76"/>
      <c r="L51" s="4"/>
      <c r="M51" s="76"/>
      <c r="O51" s="155"/>
      <c r="P51" s="44"/>
      <c r="Q51" s="44"/>
      <c r="R51" s="44"/>
    </row>
    <row r="52" spans="1:18" x14ac:dyDescent="0.25">
      <c r="B52" s="19"/>
      <c r="D52" s="19"/>
      <c r="E52" s="46"/>
      <c r="F52" s="19"/>
      <c r="H52" s="19"/>
      <c r="I52" s="47"/>
      <c r="J52" s="19"/>
      <c r="K52" s="47"/>
      <c r="L52" s="19"/>
      <c r="M52" s="47"/>
      <c r="O52" s="186"/>
      <c r="P52" s="44"/>
      <c r="Q52" s="44"/>
      <c r="R52" s="44"/>
    </row>
    <row r="53" spans="1:18" x14ac:dyDescent="0.25">
      <c r="B53" s="4"/>
      <c r="D53" s="4"/>
      <c r="E53" s="46"/>
      <c r="F53" s="4"/>
      <c r="H53" s="4"/>
      <c r="I53" s="47"/>
      <c r="J53" s="4"/>
      <c r="K53" s="47"/>
      <c r="L53" s="4"/>
      <c r="M53" s="47"/>
      <c r="O53" s="44"/>
      <c r="P53" s="44"/>
      <c r="Q53" s="44"/>
      <c r="R53" s="44"/>
    </row>
    <row r="54" spans="1:18" x14ac:dyDescent="0.25">
      <c r="E54" s="46"/>
      <c r="I54" s="47"/>
      <c r="K54" s="47"/>
      <c r="M54" s="47"/>
      <c r="O54" s="44"/>
      <c r="P54" s="44"/>
      <c r="Q54" s="44"/>
      <c r="R54" s="44"/>
    </row>
    <row r="55" spans="1:18" x14ac:dyDescent="0.25">
      <c r="E55" s="46"/>
      <c r="I55" s="47"/>
      <c r="K55" s="47"/>
      <c r="M55" s="47"/>
      <c r="O55" s="44"/>
      <c r="P55" s="44"/>
      <c r="Q55" s="44"/>
      <c r="R55" s="44"/>
    </row>
    <row r="56" spans="1:18" x14ac:dyDescent="0.25">
      <c r="M56" s="1">
        <f>COUNT(M12:M42)</f>
        <v>15</v>
      </c>
      <c r="O56" s="47"/>
      <c r="P56" s="44"/>
      <c r="Q56" s="44"/>
      <c r="R56" s="44"/>
    </row>
    <row r="57" spans="1:18" x14ac:dyDescent="0.25">
      <c r="A57" s="4"/>
      <c r="C57" s="4"/>
      <c r="E57" s="4"/>
      <c r="G57" s="4"/>
      <c r="I57" s="4"/>
      <c r="K57" s="4"/>
      <c r="M57" s="4"/>
      <c r="O57" s="44"/>
      <c r="P57" s="44"/>
      <c r="Q57" s="44"/>
      <c r="R57" s="44"/>
    </row>
    <row r="58" spans="1:18" x14ac:dyDescent="0.25">
      <c r="A58" s="4"/>
      <c r="C58" s="4"/>
      <c r="E58" s="4"/>
      <c r="G58" s="4"/>
      <c r="I58" s="4"/>
      <c r="K58" s="4"/>
      <c r="M58" s="4"/>
      <c r="O58" s="44"/>
      <c r="P58" s="44"/>
      <c r="Q58" s="44"/>
      <c r="R58" s="44"/>
    </row>
    <row r="59" spans="1:18" x14ac:dyDescent="0.25">
      <c r="A59" s="19"/>
      <c r="C59" s="19"/>
      <c r="E59" s="19"/>
      <c r="G59" s="19"/>
      <c r="I59" s="19"/>
      <c r="K59" s="19"/>
      <c r="M59" s="19"/>
      <c r="O59" s="44"/>
      <c r="P59" s="44"/>
      <c r="Q59" s="44"/>
      <c r="R59" s="44"/>
    </row>
    <row r="60" spans="1:18" x14ac:dyDescent="0.25">
      <c r="A60" s="4"/>
      <c r="C60" s="4"/>
      <c r="E60" s="4"/>
      <c r="G60" s="4"/>
      <c r="I60" s="4"/>
      <c r="K60" s="4"/>
      <c r="M60" s="4"/>
      <c r="O60" s="44"/>
      <c r="P60" s="44"/>
      <c r="Q60" s="44"/>
      <c r="R60" s="44"/>
    </row>
    <row r="61" spans="1:18" x14ac:dyDescent="0.25">
      <c r="M61" s="32"/>
      <c r="O61" s="44"/>
      <c r="P61" s="44"/>
      <c r="Q61" s="44"/>
      <c r="R61" s="44"/>
    </row>
    <row r="63" spans="1:18" x14ac:dyDescent="0.25">
      <c r="M63" s="14"/>
    </row>
  </sheetData>
  <printOptions horizontalCentered="1"/>
  <pageMargins left="0.75" right="0.75" top="1" bottom="1" header="0.5" footer="0.5"/>
  <pageSetup scale="7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5"/>
  <sheetViews>
    <sheetView view="pageBreakPreview" zoomScale="70" zoomScaleNormal="100" zoomScaleSheetLayoutView="70" zoomScalePageLayoutView="85" workbookViewId="0">
      <selection activeCell="H19" sqref="H19"/>
    </sheetView>
  </sheetViews>
  <sheetFormatPr defaultColWidth="9.140625" defaultRowHeight="15.75" x14ac:dyDescent="0.25"/>
  <cols>
    <col min="1" max="1" width="53" style="1" customWidth="1"/>
    <col min="2" max="2" width="3.7109375" style="96" customWidth="1"/>
    <col min="3" max="3" width="18.140625" style="96" customWidth="1"/>
    <col min="4" max="4" width="2.7109375" style="1" customWidth="1"/>
    <col min="5" max="5" width="18.140625" style="1" customWidth="1"/>
    <col min="6" max="6" width="27.5703125" style="1" bestFit="1" customWidth="1"/>
    <col min="7" max="7" width="12" style="1" bestFit="1" customWidth="1"/>
    <col min="8" max="16384" width="9.140625" style="1"/>
  </cols>
  <sheetData>
    <row r="1" spans="1:7" x14ac:dyDescent="0.25">
      <c r="A1" s="5" t="str">
        <f>'Cap Plan P1'!A1</f>
        <v>ANYTOWN WATER UTILITY/SEWAGE WORKS</v>
      </c>
      <c r="B1" s="141"/>
      <c r="C1" s="141"/>
      <c r="D1" s="5"/>
      <c r="E1" s="5"/>
    </row>
    <row r="2" spans="1:7" x14ac:dyDescent="0.25">
      <c r="A2" s="102"/>
      <c r="B2" s="103"/>
      <c r="C2" s="103"/>
    </row>
    <row r="3" spans="1:7" x14ac:dyDescent="0.25">
      <c r="A3" s="6" t="s">
        <v>90</v>
      </c>
      <c r="B3" s="67"/>
      <c r="C3" s="67"/>
      <c r="D3" s="5"/>
      <c r="E3" s="5"/>
    </row>
    <row r="4" spans="1:7" x14ac:dyDescent="0.25">
      <c r="A4" s="5"/>
      <c r="B4" s="141"/>
      <c r="C4" s="141"/>
      <c r="D4" s="4"/>
      <c r="E4" s="4"/>
      <c r="F4" s="112"/>
    </row>
    <row r="5" spans="1:7" x14ac:dyDescent="0.25">
      <c r="A5" s="5"/>
      <c r="B5" s="141"/>
      <c r="C5" s="141"/>
      <c r="D5" s="4"/>
      <c r="E5" s="4"/>
    </row>
    <row r="6" spans="1:7" x14ac:dyDescent="0.25">
      <c r="C6" s="195" t="s">
        <v>93</v>
      </c>
      <c r="D6" s="194"/>
      <c r="E6" s="16"/>
    </row>
    <row r="7" spans="1:7" x14ac:dyDescent="0.25">
      <c r="A7" s="86" t="s">
        <v>91</v>
      </c>
      <c r="B7" s="86"/>
      <c r="C7" s="99">
        <v>2022</v>
      </c>
      <c r="E7" s="15">
        <v>2026</v>
      </c>
    </row>
    <row r="8" spans="1:7" x14ac:dyDescent="0.25">
      <c r="A8" s="28"/>
      <c r="B8" s="97"/>
      <c r="C8" s="143"/>
      <c r="E8" s="143"/>
    </row>
    <row r="9" spans="1:7" x14ac:dyDescent="0.25">
      <c r="A9" s="1" t="s">
        <v>140</v>
      </c>
      <c r="C9" s="128"/>
      <c r="E9" s="72"/>
    </row>
    <row r="10" spans="1:7" x14ac:dyDescent="0.25">
      <c r="A10" s="73" t="s">
        <v>139</v>
      </c>
      <c r="B10" s="90"/>
      <c r="C10" s="142">
        <v>855000</v>
      </c>
      <c r="E10" s="142"/>
    </row>
    <row r="11" spans="1:7" x14ac:dyDescent="0.25">
      <c r="A11" s="90" t="s">
        <v>139</v>
      </c>
      <c r="B11" s="90"/>
      <c r="C11" s="124"/>
      <c r="E11" s="142">
        <v>1850000</v>
      </c>
    </row>
    <row r="12" spans="1:7" s="96" customFormat="1" x14ac:dyDescent="0.25">
      <c r="A12" s="90"/>
      <c r="B12" s="90"/>
      <c r="C12" s="167"/>
      <c r="E12" s="264"/>
      <c r="F12" s="44"/>
      <c r="G12" s="168"/>
    </row>
    <row r="13" spans="1:7" x14ac:dyDescent="0.25">
      <c r="A13" s="74" t="s">
        <v>66</v>
      </c>
      <c r="B13" s="156"/>
      <c r="C13" s="125">
        <f>SUM(C10:C12)</f>
        <v>855000</v>
      </c>
      <c r="E13" s="125">
        <f>SUM(E10:E12)</f>
        <v>1850000</v>
      </c>
    </row>
    <row r="14" spans="1:7" x14ac:dyDescent="0.25">
      <c r="C14" s="137"/>
      <c r="E14" s="137"/>
    </row>
    <row r="15" spans="1:7" x14ac:dyDescent="0.25">
      <c r="A15" s="1" t="s">
        <v>16</v>
      </c>
      <c r="C15" s="134"/>
      <c r="E15" s="10"/>
    </row>
    <row r="16" spans="1:7" x14ac:dyDescent="0.25">
      <c r="A16" s="73" t="s">
        <v>138</v>
      </c>
      <c r="B16" s="90"/>
      <c r="C16" s="125">
        <v>170000</v>
      </c>
      <c r="E16" s="125">
        <v>350000</v>
      </c>
      <c r="F16" s="263"/>
      <c r="G16" s="262"/>
    </row>
    <row r="17" spans="1:8" x14ac:dyDescent="0.25">
      <c r="A17" s="267" t="s">
        <v>146</v>
      </c>
      <c r="B17" s="90"/>
      <c r="C17" s="125"/>
      <c r="E17" s="125"/>
    </row>
    <row r="18" spans="1:8" s="96" customFormat="1" x14ac:dyDescent="0.25">
      <c r="A18" s="267" t="s">
        <v>147</v>
      </c>
      <c r="B18" s="90"/>
      <c r="C18" s="125"/>
      <c r="E18" s="125"/>
      <c r="F18" s="121"/>
      <c r="G18" s="142"/>
    </row>
    <row r="19" spans="1:8" x14ac:dyDescent="0.25">
      <c r="A19" s="73" t="s">
        <v>68</v>
      </c>
      <c r="B19" s="90"/>
      <c r="C19" s="125">
        <f>90000</f>
        <v>90000</v>
      </c>
      <c r="E19" s="125">
        <f>90000</f>
        <v>90000</v>
      </c>
    </row>
    <row r="20" spans="1:8" s="96" customFormat="1" x14ac:dyDescent="0.25">
      <c r="A20" s="90"/>
      <c r="B20" s="90"/>
      <c r="C20" s="138"/>
      <c r="E20" s="138"/>
    </row>
    <row r="21" spans="1:8" x14ac:dyDescent="0.25">
      <c r="A21" s="74" t="s">
        <v>67</v>
      </c>
      <c r="B21" s="156"/>
      <c r="C21" s="125">
        <f>SUM(C16:C19)</f>
        <v>260000</v>
      </c>
      <c r="E21" s="125">
        <f>SUM(E16:E19)</f>
        <v>440000</v>
      </c>
    </row>
    <row r="22" spans="1:8" x14ac:dyDescent="0.25">
      <c r="A22" s="74"/>
      <c r="B22" s="156"/>
      <c r="C22" s="143"/>
      <c r="E22" s="12"/>
    </row>
    <row r="23" spans="1:8" ht="16.5" thickBot="1" x14ac:dyDescent="0.3">
      <c r="A23" s="74" t="s">
        <v>69</v>
      </c>
      <c r="B23" s="156"/>
      <c r="C23" s="29">
        <f>C13+C21</f>
        <v>1115000</v>
      </c>
      <c r="E23" s="29">
        <f>E13+E21</f>
        <v>2290000</v>
      </c>
    </row>
    <row r="24" spans="1:8" ht="16.5" thickTop="1" x14ac:dyDescent="0.25"/>
    <row r="25" spans="1:8" x14ac:dyDescent="0.25">
      <c r="A25" s="86" t="s">
        <v>92</v>
      </c>
      <c r="B25" s="86"/>
    </row>
    <row r="27" spans="1:8" x14ac:dyDescent="0.25">
      <c r="A27" s="109" t="s">
        <v>148</v>
      </c>
      <c r="B27" s="109"/>
      <c r="C27" s="172">
        <f>C23</f>
        <v>1115000</v>
      </c>
      <c r="E27" s="172">
        <f>E23</f>
        <v>2290000</v>
      </c>
      <c r="F27" s="171"/>
      <c r="G27" s="170"/>
    </row>
    <row r="28" spans="1:8" x14ac:dyDescent="0.25">
      <c r="A28" s="109" t="s">
        <v>83</v>
      </c>
      <c r="B28" s="109"/>
      <c r="C28" s="125"/>
      <c r="E28" s="125"/>
      <c r="G28" s="10"/>
    </row>
    <row r="29" spans="1:8" x14ac:dyDescent="0.25">
      <c r="A29" s="109" t="s">
        <v>15</v>
      </c>
      <c r="B29" s="109"/>
      <c r="C29" s="125"/>
      <c r="E29" s="125"/>
      <c r="G29" s="10"/>
    </row>
    <row r="30" spans="1:8" x14ac:dyDescent="0.25">
      <c r="C30" s="30"/>
      <c r="E30" s="30"/>
    </row>
    <row r="31" spans="1:8" ht="16.5" thickBot="1" x14ac:dyDescent="0.3">
      <c r="A31" s="74" t="s">
        <v>70</v>
      </c>
      <c r="B31" s="156"/>
      <c r="C31" s="29">
        <f>SUM(C27:C30)</f>
        <v>1115000</v>
      </c>
      <c r="E31" s="29">
        <f>SUM(E27:E30)</f>
        <v>2290000</v>
      </c>
      <c r="F31" s="2"/>
      <c r="H31" s="2"/>
    </row>
    <row r="32" spans="1:8" ht="16.5" thickTop="1" x14ac:dyDescent="0.25">
      <c r="A32" s="74"/>
      <c r="B32" s="156"/>
      <c r="C32" s="151"/>
      <c r="E32" s="79"/>
      <c r="F32" s="2"/>
      <c r="H32" s="2"/>
    </row>
    <row r="33" spans="1:9" x14ac:dyDescent="0.25">
      <c r="A33" s="74"/>
      <c r="B33" s="156"/>
      <c r="C33" s="156"/>
      <c r="E33" s="79"/>
      <c r="F33" s="2"/>
      <c r="H33" s="2"/>
    </row>
    <row r="34" spans="1:9" x14ac:dyDescent="0.25">
      <c r="A34" s="4"/>
      <c r="B34" s="91"/>
      <c r="C34" s="91"/>
      <c r="D34" s="31"/>
      <c r="E34" s="31"/>
      <c r="F34" s="17"/>
      <c r="G34" s="10"/>
      <c r="H34" s="17"/>
      <c r="I34" s="17"/>
    </row>
    <row r="35" spans="1:9" x14ac:dyDescent="0.25">
      <c r="A35" s="109" t="s">
        <v>144</v>
      </c>
      <c r="B35" s="91"/>
      <c r="C35" s="91"/>
      <c r="D35" s="31"/>
      <c r="E35" s="31"/>
      <c r="F35" s="17"/>
      <c r="G35" s="17"/>
      <c r="H35" s="17"/>
      <c r="I35" s="17"/>
    </row>
    <row r="36" spans="1:9" s="96" customFormat="1" x14ac:dyDescent="0.25">
      <c r="A36" s="109" t="s">
        <v>145</v>
      </c>
      <c r="B36" s="91"/>
      <c r="C36" s="91"/>
      <c r="D36" s="31"/>
      <c r="E36" s="31"/>
      <c r="F36" s="17"/>
      <c r="G36" s="17"/>
      <c r="H36" s="17"/>
      <c r="I36" s="17"/>
    </row>
    <row r="37" spans="1:9" s="96" customFormat="1" x14ac:dyDescent="0.25">
      <c r="A37" s="109"/>
      <c r="B37" s="91"/>
      <c r="C37" s="91"/>
      <c r="D37" s="31"/>
      <c r="E37" s="31"/>
      <c r="F37" s="17"/>
      <c r="G37" s="17"/>
      <c r="H37" s="17"/>
      <c r="I37" s="17"/>
    </row>
    <row r="38" spans="1:9" s="96" customFormat="1" x14ac:dyDescent="0.25">
      <c r="A38" s="109"/>
      <c r="B38" s="91"/>
      <c r="C38" s="91"/>
      <c r="D38" s="31"/>
      <c r="E38" s="31"/>
      <c r="F38" s="17"/>
      <c r="G38" s="17"/>
      <c r="H38" s="17"/>
      <c r="I38" s="17"/>
    </row>
    <row r="39" spans="1:9" s="96" customFormat="1" x14ac:dyDescent="0.25">
      <c r="A39" s="109"/>
      <c r="B39" s="91"/>
      <c r="C39" s="91"/>
      <c r="D39" s="31"/>
      <c r="E39" s="31"/>
      <c r="F39" s="17"/>
      <c r="G39" s="17"/>
      <c r="H39" s="17"/>
      <c r="I39" s="17"/>
    </row>
    <row r="40" spans="1:9" s="96" customFormat="1" x14ac:dyDescent="0.25">
      <c r="A40" s="109"/>
      <c r="B40" s="91"/>
      <c r="C40" s="91"/>
      <c r="D40" s="31"/>
      <c r="E40" s="31"/>
      <c r="F40" s="17"/>
      <c r="G40" s="17"/>
      <c r="H40" s="17"/>
      <c r="I40" s="17"/>
    </row>
    <row r="41" spans="1:9" s="96" customFormat="1" x14ac:dyDescent="0.25">
      <c r="A41" s="109"/>
      <c r="B41" s="91"/>
      <c r="C41" s="91"/>
      <c r="D41" s="31"/>
      <c r="E41" s="31"/>
      <c r="F41" s="17"/>
      <c r="G41" s="17"/>
      <c r="H41" s="17"/>
      <c r="I41" s="17"/>
    </row>
    <row r="42" spans="1:9" x14ac:dyDescent="0.25">
      <c r="A42" s="4"/>
      <c r="B42" s="91"/>
      <c r="C42" s="91"/>
      <c r="D42" s="4"/>
      <c r="E42" s="4"/>
      <c r="G42" s="10"/>
    </row>
    <row r="43" spans="1:9" x14ac:dyDescent="0.25">
      <c r="A43" s="4"/>
      <c r="B43" s="91"/>
      <c r="C43" s="91"/>
      <c r="D43" s="4"/>
      <c r="E43" s="4"/>
    </row>
    <row r="44" spans="1:9" x14ac:dyDescent="0.25">
      <c r="A44" s="4"/>
      <c r="B44" s="91"/>
      <c r="C44" s="91"/>
      <c r="D44" s="4"/>
      <c r="E44" s="4"/>
    </row>
    <row r="45" spans="1:9" x14ac:dyDescent="0.25">
      <c r="A45" s="45">
        <f>'Out. Bonds'!A48+1</f>
        <v>4</v>
      </c>
      <c r="B45" s="45"/>
      <c r="C45" s="45"/>
      <c r="D45" s="91"/>
      <c r="E45" s="91"/>
    </row>
  </sheetData>
  <phoneticPr fontId="0" type="noConversion"/>
  <printOptions horizontalCentered="1"/>
  <pageMargins left="0.75" right="0.75" top="1" bottom="1" header="0.5" footer="0.5"/>
  <pageSetup scale="94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WhiteSpace="0" view="pageBreakPreview" zoomScale="80" zoomScaleNormal="100" zoomScaleSheetLayoutView="80" zoomScalePageLayoutView="70" workbookViewId="0">
      <selection activeCell="M31" sqref="M31"/>
    </sheetView>
  </sheetViews>
  <sheetFormatPr defaultColWidth="15.7109375" defaultRowHeight="15.75" x14ac:dyDescent="0.25"/>
  <cols>
    <col min="1" max="1" width="9.42578125" style="96" bestFit="1" customWidth="1"/>
    <col min="2" max="2" width="2.5703125" style="96" customWidth="1"/>
    <col min="3" max="3" width="11.7109375" style="96" customWidth="1"/>
    <col min="4" max="4" width="2.5703125" style="96" customWidth="1"/>
    <col min="5" max="5" width="9.42578125" style="96" bestFit="1" customWidth="1"/>
    <col min="6" max="6" width="2.5703125" style="96" customWidth="1"/>
    <col min="7" max="7" width="8.5703125" style="96" bestFit="1" customWidth="1"/>
    <col min="8" max="8" width="2.5703125" style="96" customWidth="1"/>
    <col min="9" max="9" width="14" style="96" bestFit="1" customWidth="1"/>
    <col min="10" max="10" width="2.5703125" style="96" customWidth="1"/>
    <col min="11" max="11" width="15.85546875" style="96" customWidth="1"/>
    <col min="12" max="12" width="2.5703125" style="96" customWidth="1"/>
    <col min="13" max="13" width="15.28515625" style="96" customWidth="1"/>
    <col min="14" max="14" width="14.5703125" style="96" customWidth="1"/>
    <col min="15" max="15" width="32.85546875" style="96" customWidth="1"/>
    <col min="16" max="16" width="25.140625" style="96" bestFit="1" customWidth="1"/>
    <col min="17" max="16384" width="15.7109375" style="96"/>
  </cols>
  <sheetData>
    <row r="1" spans="1:27" x14ac:dyDescent="0.25">
      <c r="A1" s="141" t="str">
        <f>'Cap Plan P1'!A1</f>
        <v>ANYTOWN WATER UTILITY/SEWAGE WORKS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O1" s="187"/>
      <c r="P1" s="188"/>
    </row>
    <row r="2" spans="1:27" x14ac:dyDescent="0.25">
      <c r="A2" s="103"/>
      <c r="I2" s="82"/>
      <c r="M2" s="80"/>
      <c r="O2" s="44"/>
      <c r="P2" s="44"/>
      <c r="AA2" s="96">
        <v>5</v>
      </c>
    </row>
    <row r="3" spans="1:27" x14ac:dyDescent="0.25">
      <c r="A3" s="39" t="s">
        <v>205</v>
      </c>
      <c r="B3" s="141"/>
      <c r="C3" s="18"/>
      <c r="D3" s="141"/>
      <c r="E3" s="18"/>
      <c r="F3" s="141"/>
      <c r="G3" s="37"/>
      <c r="H3" s="141"/>
      <c r="I3" s="38"/>
      <c r="J3" s="141"/>
      <c r="K3" s="38"/>
      <c r="L3" s="141"/>
      <c r="M3" s="38"/>
      <c r="N3" s="33"/>
      <c r="O3" s="189"/>
      <c r="P3" s="190"/>
    </row>
    <row r="4" spans="1:27" x14ac:dyDescent="0.25">
      <c r="A4" s="39" t="s">
        <v>141</v>
      </c>
      <c r="B4" s="91"/>
      <c r="C4" s="45"/>
      <c r="D4" s="91"/>
      <c r="E4" s="45"/>
      <c r="F4" s="91"/>
      <c r="G4" s="42"/>
      <c r="H4" s="91"/>
      <c r="I4" s="27"/>
      <c r="J4" s="91"/>
      <c r="K4" s="27"/>
      <c r="L4" s="91"/>
      <c r="M4" s="38"/>
      <c r="N4" s="33"/>
      <c r="O4" s="155"/>
      <c r="P4" s="191">
        <v>0.04</v>
      </c>
      <c r="U4" s="80"/>
    </row>
    <row r="5" spans="1:27" x14ac:dyDescent="0.25">
      <c r="A5" s="36" t="s">
        <v>142</v>
      </c>
      <c r="B5" s="91"/>
      <c r="C5" s="45"/>
      <c r="D5" s="91"/>
      <c r="E5" s="45"/>
      <c r="F5" s="91"/>
      <c r="G5" s="42"/>
      <c r="H5" s="91"/>
      <c r="I5" s="27"/>
      <c r="J5" s="91"/>
      <c r="K5" s="27"/>
      <c r="L5" s="91"/>
      <c r="M5" s="27"/>
      <c r="N5" s="33"/>
      <c r="O5" s="155"/>
      <c r="P5" s="192"/>
    </row>
    <row r="6" spans="1:27" x14ac:dyDescent="0.25">
      <c r="A6" s="36"/>
      <c r="B6" s="91"/>
      <c r="C6" s="45"/>
      <c r="D6" s="91"/>
      <c r="E6" s="45"/>
      <c r="F6" s="91"/>
      <c r="G6" s="42"/>
      <c r="H6" s="91"/>
      <c r="I6" s="27"/>
      <c r="J6" s="91"/>
      <c r="K6" s="27"/>
      <c r="L6" s="91"/>
      <c r="M6" s="27"/>
      <c r="N6" s="33"/>
      <c r="O6" s="155"/>
      <c r="P6" s="192"/>
    </row>
    <row r="7" spans="1:27" x14ac:dyDescent="0.25">
      <c r="G7" s="128" t="s">
        <v>118</v>
      </c>
      <c r="N7" s="33"/>
      <c r="O7" s="155"/>
      <c r="P7" s="193"/>
      <c r="S7" s="40"/>
      <c r="T7" s="82"/>
      <c r="V7" s="32"/>
      <c r="W7" s="32"/>
    </row>
    <row r="8" spans="1:27" x14ac:dyDescent="0.25">
      <c r="A8" s="128" t="s">
        <v>4</v>
      </c>
      <c r="B8" s="52"/>
      <c r="C8" s="128" t="s">
        <v>5</v>
      </c>
      <c r="D8" s="52"/>
      <c r="F8" s="52"/>
      <c r="G8" s="99" t="s">
        <v>3</v>
      </c>
      <c r="H8" s="52"/>
      <c r="I8" s="16" t="s">
        <v>6</v>
      </c>
      <c r="J8" s="16"/>
      <c r="K8" s="16"/>
      <c r="L8" s="52"/>
      <c r="M8" s="128" t="s">
        <v>7</v>
      </c>
      <c r="N8" s="33"/>
      <c r="O8" s="155"/>
      <c r="P8" s="47"/>
      <c r="S8" s="40"/>
      <c r="T8" s="82"/>
      <c r="U8" s="32"/>
      <c r="V8" s="32"/>
      <c r="W8" s="32"/>
      <c r="X8" s="32"/>
    </row>
    <row r="9" spans="1:27" x14ac:dyDescent="0.25">
      <c r="A9" s="128" t="s">
        <v>0</v>
      </c>
      <c r="B9" s="52"/>
      <c r="C9" s="133" t="s">
        <v>10</v>
      </c>
      <c r="D9" s="52"/>
      <c r="E9" s="133" t="s">
        <v>5</v>
      </c>
      <c r="F9" s="52"/>
      <c r="G9" s="128" t="s">
        <v>143</v>
      </c>
      <c r="H9" s="52"/>
      <c r="I9" s="128" t="s">
        <v>72</v>
      </c>
      <c r="J9" s="52"/>
      <c r="K9" s="128" t="s">
        <v>73</v>
      </c>
      <c r="L9" s="52"/>
      <c r="M9" s="128" t="s">
        <v>8</v>
      </c>
      <c r="N9" s="33"/>
      <c r="O9" s="43"/>
      <c r="P9" s="47"/>
      <c r="S9" s="40"/>
      <c r="T9" s="82"/>
      <c r="V9" s="32"/>
      <c r="W9" s="32"/>
    </row>
    <row r="10" spans="1:27" x14ac:dyDescent="0.25">
      <c r="A10" s="20"/>
      <c r="B10" s="52"/>
      <c r="C10" s="91" t="s">
        <v>71</v>
      </c>
      <c r="D10" s="91"/>
      <c r="E10" s="91"/>
      <c r="F10" s="52"/>
      <c r="G10" s="22" t="s">
        <v>9</v>
      </c>
      <c r="H10" s="52"/>
      <c r="I10" s="21" t="s">
        <v>55</v>
      </c>
      <c r="J10" s="91"/>
      <c r="K10" s="21"/>
      <c r="L10" s="91"/>
      <c r="M10" s="21"/>
      <c r="N10" s="33"/>
      <c r="O10" s="44"/>
      <c r="P10" s="44"/>
      <c r="S10" s="40"/>
      <c r="T10" s="82"/>
      <c r="U10" s="32"/>
      <c r="V10" s="32"/>
      <c r="W10" s="32"/>
      <c r="X10" s="32"/>
    </row>
    <row r="11" spans="1:27" x14ac:dyDescent="0.25">
      <c r="A11" s="78"/>
      <c r="B11" s="52"/>
      <c r="C11" s="59"/>
      <c r="D11" s="52"/>
      <c r="E11" s="59"/>
      <c r="F11" s="52"/>
      <c r="G11" s="76"/>
      <c r="H11" s="52"/>
      <c r="I11" s="24"/>
      <c r="J11" s="52"/>
      <c r="K11" s="24"/>
      <c r="L11" s="52"/>
      <c r="M11" s="98"/>
      <c r="N11" s="33"/>
      <c r="O11" s="182" t="s">
        <v>182</v>
      </c>
      <c r="P11" s="47">
        <f>MAX(M12:M52)</f>
        <v>85600</v>
      </c>
      <c r="Q11" s="44"/>
      <c r="R11" s="44"/>
      <c r="S11" s="40"/>
      <c r="T11" s="82"/>
      <c r="V11" s="32"/>
      <c r="W11" s="32"/>
    </row>
    <row r="12" spans="1:27" x14ac:dyDescent="0.25">
      <c r="A12" s="78">
        <v>44927</v>
      </c>
      <c r="B12" s="52"/>
      <c r="C12" s="173">
        <v>1115</v>
      </c>
      <c r="D12" s="52"/>
      <c r="E12" s="173"/>
      <c r="F12" s="104"/>
      <c r="G12" s="129"/>
      <c r="H12" s="52"/>
      <c r="I12" s="120">
        <f>I13</f>
        <v>22300</v>
      </c>
      <c r="J12" s="52"/>
      <c r="K12" s="120">
        <f>E12*1000+I12</f>
        <v>22300</v>
      </c>
      <c r="L12" s="52"/>
      <c r="M12" s="121">
        <f>K12</f>
        <v>22300</v>
      </c>
      <c r="N12" s="248"/>
      <c r="O12" s="183"/>
      <c r="P12" s="43"/>
      <c r="Q12" s="184"/>
      <c r="R12" s="44"/>
      <c r="S12" s="40"/>
      <c r="T12" s="82"/>
      <c r="U12" s="32"/>
      <c r="V12" s="32"/>
      <c r="W12" s="32"/>
      <c r="X12" s="32"/>
    </row>
    <row r="13" spans="1:27" x14ac:dyDescent="0.25">
      <c r="A13" s="78">
        <v>45108</v>
      </c>
      <c r="B13" s="52"/>
      <c r="C13" s="139">
        <f t="shared" ref="C13:C52" si="0">C12-E12</f>
        <v>1115</v>
      </c>
      <c r="D13" s="52"/>
      <c r="E13" s="173">
        <f t="shared" ref="E13:E50" si="1">N13/1000</f>
        <v>20</v>
      </c>
      <c r="F13" s="52"/>
      <c r="G13" s="129">
        <f t="shared" ref="G13:G52" si="2">$P$4*100</f>
        <v>4</v>
      </c>
      <c r="H13" s="52"/>
      <c r="I13" s="76">
        <f>ROUND((+E13*G13*10)/2+I14,2)</f>
        <v>22300</v>
      </c>
      <c r="J13" s="52"/>
      <c r="K13" s="76">
        <f>E13*1000+I13</f>
        <v>42300</v>
      </c>
      <c r="L13" s="52"/>
      <c r="M13" s="154"/>
      <c r="N13" s="248">
        <v>20000</v>
      </c>
      <c r="O13" s="183"/>
      <c r="P13" s="43"/>
      <c r="Q13" s="155"/>
      <c r="R13" s="44"/>
      <c r="S13" s="40"/>
      <c r="T13" s="82"/>
      <c r="V13" s="32"/>
      <c r="W13" s="32"/>
    </row>
    <row r="14" spans="1:27" x14ac:dyDescent="0.25">
      <c r="A14" s="78">
        <v>45292</v>
      </c>
      <c r="B14" s="52"/>
      <c r="C14" s="139">
        <f t="shared" si="0"/>
        <v>1095</v>
      </c>
      <c r="D14" s="52"/>
      <c r="E14" s="139">
        <f t="shared" si="1"/>
        <v>20</v>
      </c>
      <c r="F14" s="52"/>
      <c r="G14" s="129">
        <f t="shared" si="2"/>
        <v>4</v>
      </c>
      <c r="H14" s="52"/>
      <c r="I14" s="76">
        <f t="shared" ref="I14:I52" si="3">ROUND((+E14*G14*10)/2+I15,2)</f>
        <v>21900</v>
      </c>
      <c r="J14" s="52"/>
      <c r="K14" s="76">
        <f t="shared" ref="K14:K52" si="4">E14*1000+I14</f>
        <v>41900</v>
      </c>
      <c r="L14" s="52"/>
      <c r="M14" s="76">
        <f>K14+K13</f>
        <v>84200</v>
      </c>
      <c r="N14" s="248">
        <v>20000</v>
      </c>
      <c r="O14" s="183"/>
      <c r="P14" s="43"/>
      <c r="Q14" s="44"/>
      <c r="R14" s="44"/>
      <c r="S14" s="40"/>
      <c r="T14" s="82"/>
      <c r="U14" s="32"/>
      <c r="V14" s="32"/>
      <c r="W14" s="32"/>
      <c r="X14" s="32"/>
    </row>
    <row r="15" spans="1:27" x14ac:dyDescent="0.25">
      <c r="A15" s="78">
        <v>45474</v>
      </c>
      <c r="B15" s="52"/>
      <c r="C15" s="139">
        <f>C14-E14</f>
        <v>1075</v>
      </c>
      <c r="D15" s="52"/>
      <c r="E15" s="139">
        <f t="shared" si="1"/>
        <v>20</v>
      </c>
      <c r="F15" s="52"/>
      <c r="G15" s="129">
        <f t="shared" si="2"/>
        <v>4</v>
      </c>
      <c r="H15" s="52"/>
      <c r="I15" s="76">
        <f t="shared" si="3"/>
        <v>21500</v>
      </c>
      <c r="J15" s="52"/>
      <c r="K15" s="76">
        <f t="shared" si="4"/>
        <v>41500</v>
      </c>
      <c r="L15" s="52"/>
      <c r="M15" s="126"/>
      <c r="N15" s="248">
        <v>20000</v>
      </c>
      <c r="O15" s="183"/>
      <c r="P15" s="43"/>
      <c r="Q15" s="44"/>
      <c r="R15" s="44"/>
      <c r="S15" s="40"/>
      <c r="T15" s="82"/>
      <c r="V15" s="32"/>
      <c r="W15" s="32"/>
    </row>
    <row r="16" spans="1:27" x14ac:dyDescent="0.25">
      <c r="A16" s="78">
        <v>45658</v>
      </c>
      <c r="B16" s="52"/>
      <c r="C16" s="139">
        <f t="shared" si="0"/>
        <v>1055</v>
      </c>
      <c r="D16" s="52"/>
      <c r="E16" s="139">
        <f t="shared" si="1"/>
        <v>20</v>
      </c>
      <c r="F16" s="52"/>
      <c r="G16" s="129">
        <f t="shared" si="2"/>
        <v>4</v>
      </c>
      <c r="H16" s="52"/>
      <c r="I16" s="76">
        <f t="shared" si="3"/>
        <v>21100</v>
      </c>
      <c r="J16" s="52"/>
      <c r="K16" s="126">
        <f t="shared" si="4"/>
        <v>41100</v>
      </c>
      <c r="L16" s="52"/>
      <c r="M16" s="76">
        <f>K16+K15</f>
        <v>82600</v>
      </c>
      <c r="N16" s="248">
        <v>20000</v>
      </c>
      <c r="O16" s="183"/>
      <c r="P16" s="43"/>
      <c r="Q16" s="44"/>
      <c r="R16" s="44"/>
      <c r="S16" s="40"/>
      <c r="T16" s="82"/>
      <c r="U16" s="32"/>
      <c r="V16" s="32"/>
      <c r="W16" s="32"/>
      <c r="X16" s="32"/>
    </row>
    <row r="17" spans="1:24" x14ac:dyDescent="0.25">
      <c r="A17" s="78">
        <v>45839</v>
      </c>
      <c r="B17" s="52"/>
      <c r="C17" s="139">
        <f t="shared" si="0"/>
        <v>1035</v>
      </c>
      <c r="D17" s="52"/>
      <c r="E17" s="139">
        <f t="shared" si="1"/>
        <v>20</v>
      </c>
      <c r="F17" s="52"/>
      <c r="G17" s="129">
        <f t="shared" si="2"/>
        <v>4</v>
      </c>
      <c r="H17" s="52"/>
      <c r="I17" s="76">
        <f t="shared" si="3"/>
        <v>20700</v>
      </c>
      <c r="J17" s="52"/>
      <c r="K17" s="76">
        <f t="shared" si="4"/>
        <v>40700</v>
      </c>
      <c r="L17" s="52"/>
      <c r="M17" s="126"/>
      <c r="N17" s="248">
        <v>20000</v>
      </c>
      <c r="O17" s="183"/>
      <c r="P17" s="43"/>
      <c r="Q17" s="44"/>
      <c r="R17" s="44"/>
      <c r="S17" s="40"/>
      <c r="T17" s="82"/>
      <c r="V17" s="32"/>
      <c r="W17" s="32"/>
    </row>
    <row r="18" spans="1:24" x14ac:dyDescent="0.25">
      <c r="A18" s="78">
        <v>46023</v>
      </c>
      <c r="B18" s="52"/>
      <c r="C18" s="139">
        <f t="shared" si="0"/>
        <v>1015</v>
      </c>
      <c r="D18" s="52"/>
      <c r="E18" s="139">
        <f t="shared" si="1"/>
        <v>20</v>
      </c>
      <c r="F18" s="52"/>
      <c r="G18" s="129">
        <f t="shared" si="2"/>
        <v>4</v>
      </c>
      <c r="H18" s="52"/>
      <c r="I18" s="76">
        <f t="shared" si="3"/>
        <v>20300</v>
      </c>
      <c r="J18" s="52"/>
      <c r="K18" s="76">
        <f t="shared" si="4"/>
        <v>40300</v>
      </c>
      <c r="L18" s="52"/>
      <c r="M18" s="76">
        <f>K18+K17</f>
        <v>81000</v>
      </c>
      <c r="N18" s="248">
        <v>20000</v>
      </c>
      <c r="O18" s="183"/>
      <c r="P18" s="43"/>
      <c r="Q18" s="44"/>
      <c r="R18" s="44"/>
      <c r="S18" s="40"/>
      <c r="T18" s="82"/>
      <c r="U18" s="32"/>
      <c r="V18" s="32"/>
      <c r="W18" s="32"/>
      <c r="X18" s="32"/>
    </row>
    <row r="19" spans="1:24" x14ac:dyDescent="0.25">
      <c r="A19" s="78">
        <v>46204</v>
      </c>
      <c r="B19" s="52"/>
      <c r="C19" s="139">
        <f t="shared" si="0"/>
        <v>995</v>
      </c>
      <c r="D19" s="52"/>
      <c r="E19" s="139">
        <f t="shared" si="1"/>
        <v>20</v>
      </c>
      <c r="F19" s="52"/>
      <c r="G19" s="129">
        <f t="shared" si="2"/>
        <v>4</v>
      </c>
      <c r="H19" s="52"/>
      <c r="I19" s="76">
        <f>ROUND((+E19*G19*10)/2+I20,2)</f>
        <v>19900</v>
      </c>
      <c r="J19" s="52"/>
      <c r="K19" s="76">
        <f t="shared" si="4"/>
        <v>39900</v>
      </c>
      <c r="L19" s="52"/>
      <c r="M19" s="126"/>
      <c r="N19" s="248">
        <v>20000</v>
      </c>
      <c r="O19" s="183"/>
      <c r="P19" s="43"/>
      <c r="Q19" s="44"/>
      <c r="R19" s="44"/>
      <c r="S19" s="40"/>
      <c r="T19" s="82"/>
      <c r="V19" s="32"/>
      <c r="W19" s="32"/>
    </row>
    <row r="20" spans="1:24" x14ac:dyDescent="0.25">
      <c r="A20" s="78">
        <v>46388</v>
      </c>
      <c r="B20" s="52"/>
      <c r="C20" s="139">
        <f t="shared" si="0"/>
        <v>975</v>
      </c>
      <c r="D20" s="52"/>
      <c r="E20" s="139">
        <f t="shared" si="1"/>
        <v>20</v>
      </c>
      <c r="F20" s="52"/>
      <c r="G20" s="129">
        <f t="shared" si="2"/>
        <v>4</v>
      </c>
      <c r="H20" s="52"/>
      <c r="I20" s="76">
        <f t="shared" si="3"/>
        <v>19500</v>
      </c>
      <c r="J20" s="52"/>
      <c r="K20" s="76">
        <f t="shared" si="4"/>
        <v>39500</v>
      </c>
      <c r="L20" s="52"/>
      <c r="M20" s="76">
        <f>K20+K19</f>
        <v>79400</v>
      </c>
      <c r="N20" s="248">
        <v>20000</v>
      </c>
      <c r="O20" s="183"/>
      <c r="P20" s="43"/>
      <c r="Q20" s="44"/>
      <c r="R20" s="44"/>
      <c r="S20" s="40"/>
      <c r="T20" s="82"/>
      <c r="U20" s="32"/>
      <c r="V20" s="32"/>
      <c r="W20" s="32"/>
      <c r="X20" s="32"/>
    </row>
    <row r="21" spans="1:24" x14ac:dyDescent="0.25">
      <c r="A21" s="78">
        <v>46569</v>
      </c>
      <c r="B21" s="52"/>
      <c r="C21" s="139">
        <f t="shared" si="0"/>
        <v>955</v>
      </c>
      <c r="D21" s="52"/>
      <c r="E21" s="139">
        <f t="shared" si="1"/>
        <v>20</v>
      </c>
      <c r="F21" s="52"/>
      <c r="G21" s="129">
        <f t="shared" si="2"/>
        <v>4</v>
      </c>
      <c r="H21" s="52"/>
      <c r="I21" s="76">
        <f t="shared" si="3"/>
        <v>19100</v>
      </c>
      <c r="J21" s="52"/>
      <c r="K21" s="76">
        <f t="shared" si="4"/>
        <v>39100</v>
      </c>
      <c r="L21" s="52"/>
      <c r="M21" s="126"/>
      <c r="N21" s="248">
        <v>20000</v>
      </c>
      <c r="O21" s="183"/>
      <c r="P21" s="43"/>
      <c r="Q21" s="44"/>
      <c r="R21" s="44"/>
      <c r="S21" s="40"/>
      <c r="T21" s="82"/>
      <c r="V21" s="32"/>
      <c r="W21" s="32"/>
    </row>
    <row r="22" spans="1:24" x14ac:dyDescent="0.25">
      <c r="A22" s="78">
        <v>46753</v>
      </c>
      <c r="B22" s="52"/>
      <c r="C22" s="139">
        <f t="shared" si="0"/>
        <v>935</v>
      </c>
      <c r="D22" s="52"/>
      <c r="E22" s="139">
        <f t="shared" si="1"/>
        <v>20</v>
      </c>
      <c r="F22" s="52"/>
      <c r="G22" s="129">
        <f t="shared" si="2"/>
        <v>4</v>
      </c>
      <c r="H22" s="52"/>
      <c r="I22" s="76">
        <f t="shared" si="3"/>
        <v>18700</v>
      </c>
      <c r="J22" s="52"/>
      <c r="K22" s="76">
        <f t="shared" si="4"/>
        <v>38700</v>
      </c>
      <c r="L22" s="52"/>
      <c r="M22" s="76">
        <f>K22+K21</f>
        <v>77800</v>
      </c>
      <c r="N22" s="248">
        <v>20000</v>
      </c>
      <c r="O22" s="183"/>
      <c r="P22" s="43"/>
      <c r="Q22" s="44"/>
      <c r="R22" s="44"/>
      <c r="S22" s="40"/>
      <c r="T22" s="82"/>
      <c r="U22" s="32"/>
      <c r="V22" s="32"/>
      <c r="W22" s="32"/>
      <c r="X22" s="32"/>
    </row>
    <row r="23" spans="1:24" x14ac:dyDescent="0.25">
      <c r="A23" s="78">
        <v>46935</v>
      </c>
      <c r="B23" s="52"/>
      <c r="C23" s="139">
        <f t="shared" si="0"/>
        <v>915</v>
      </c>
      <c r="D23" s="52"/>
      <c r="E23" s="139">
        <f t="shared" si="1"/>
        <v>20</v>
      </c>
      <c r="F23" s="52"/>
      <c r="G23" s="129">
        <f t="shared" si="2"/>
        <v>4</v>
      </c>
      <c r="H23" s="52"/>
      <c r="I23" s="76">
        <f t="shared" si="3"/>
        <v>18300</v>
      </c>
      <c r="J23" s="52"/>
      <c r="K23" s="76">
        <f t="shared" si="4"/>
        <v>38300</v>
      </c>
      <c r="L23" s="52"/>
      <c r="M23" s="126"/>
      <c r="N23" s="248">
        <v>20000</v>
      </c>
      <c r="O23" s="183"/>
      <c r="P23" s="43"/>
      <c r="Q23" s="44"/>
      <c r="R23" s="44"/>
      <c r="S23" s="40"/>
      <c r="T23" s="82"/>
      <c r="V23" s="32"/>
      <c r="W23" s="32"/>
    </row>
    <row r="24" spans="1:24" x14ac:dyDescent="0.25">
      <c r="A24" s="78">
        <v>47119</v>
      </c>
      <c r="B24" s="52"/>
      <c r="C24" s="139">
        <f t="shared" si="0"/>
        <v>895</v>
      </c>
      <c r="D24" s="52"/>
      <c r="E24" s="139">
        <f t="shared" si="1"/>
        <v>25</v>
      </c>
      <c r="F24" s="52"/>
      <c r="G24" s="129">
        <f t="shared" si="2"/>
        <v>4</v>
      </c>
      <c r="H24" s="52"/>
      <c r="I24" s="76">
        <f t="shared" si="3"/>
        <v>17900</v>
      </c>
      <c r="J24" s="52"/>
      <c r="K24" s="76">
        <f t="shared" si="4"/>
        <v>42900</v>
      </c>
      <c r="L24" s="52"/>
      <c r="M24" s="76">
        <f>K24+K23</f>
        <v>81200</v>
      </c>
      <c r="N24" s="248">
        <v>25000</v>
      </c>
      <c r="O24" s="183"/>
      <c r="P24" s="43"/>
      <c r="Q24" s="44"/>
      <c r="R24" s="44"/>
      <c r="S24" s="40"/>
      <c r="T24" s="82"/>
      <c r="U24" s="32"/>
      <c r="V24" s="32"/>
      <c r="W24" s="32"/>
      <c r="X24" s="32"/>
    </row>
    <row r="25" spans="1:24" x14ac:dyDescent="0.25">
      <c r="A25" s="78">
        <v>47300</v>
      </c>
      <c r="B25" s="52"/>
      <c r="C25" s="139">
        <f t="shared" si="0"/>
        <v>870</v>
      </c>
      <c r="D25" s="52"/>
      <c r="E25" s="139">
        <f t="shared" si="1"/>
        <v>25</v>
      </c>
      <c r="F25" s="52"/>
      <c r="G25" s="129">
        <f t="shared" si="2"/>
        <v>4</v>
      </c>
      <c r="H25" s="52"/>
      <c r="I25" s="76">
        <f t="shared" si="3"/>
        <v>17400</v>
      </c>
      <c r="J25" s="52"/>
      <c r="K25" s="76">
        <f t="shared" si="4"/>
        <v>42400</v>
      </c>
      <c r="L25" s="52"/>
      <c r="M25" s="126"/>
      <c r="N25" s="248">
        <v>25000</v>
      </c>
      <c r="O25" s="183"/>
      <c r="P25" s="43"/>
      <c r="Q25" s="44"/>
      <c r="R25" s="44"/>
      <c r="S25" s="40"/>
      <c r="T25" s="82"/>
      <c r="V25" s="32"/>
      <c r="W25" s="32"/>
    </row>
    <row r="26" spans="1:24" x14ac:dyDescent="0.25">
      <c r="A26" s="78">
        <v>47484</v>
      </c>
      <c r="B26" s="52"/>
      <c r="C26" s="139">
        <f t="shared" si="0"/>
        <v>845</v>
      </c>
      <c r="D26" s="52"/>
      <c r="E26" s="139">
        <f t="shared" si="1"/>
        <v>25</v>
      </c>
      <c r="F26" s="52"/>
      <c r="G26" s="129">
        <f t="shared" si="2"/>
        <v>4</v>
      </c>
      <c r="H26" s="52"/>
      <c r="I26" s="76">
        <f t="shared" si="3"/>
        <v>16900</v>
      </c>
      <c r="J26" s="52"/>
      <c r="K26" s="76">
        <f t="shared" si="4"/>
        <v>41900</v>
      </c>
      <c r="L26" s="52"/>
      <c r="M26" s="76">
        <f>K26+K25</f>
        <v>84300</v>
      </c>
      <c r="N26" s="248">
        <v>25000</v>
      </c>
      <c r="O26" s="183"/>
      <c r="P26" s="43"/>
      <c r="Q26" s="44"/>
      <c r="R26" s="44"/>
      <c r="S26" s="40"/>
      <c r="T26" s="82"/>
      <c r="U26" s="32"/>
      <c r="V26" s="32"/>
      <c r="W26" s="32"/>
      <c r="X26" s="32"/>
    </row>
    <row r="27" spans="1:24" x14ac:dyDescent="0.25">
      <c r="A27" s="78">
        <v>47665</v>
      </c>
      <c r="B27" s="52"/>
      <c r="C27" s="139">
        <f t="shared" si="0"/>
        <v>820</v>
      </c>
      <c r="D27" s="52"/>
      <c r="E27" s="139">
        <f t="shared" si="1"/>
        <v>25</v>
      </c>
      <c r="F27" s="52"/>
      <c r="G27" s="129">
        <f t="shared" si="2"/>
        <v>4</v>
      </c>
      <c r="H27" s="52"/>
      <c r="I27" s="76">
        <f t="shared" si="3"/>
        <v>16400</v>
      </c>
      <c r="J27" s="52"/>
      <c r="K27" s="76">
        <f t="shared" si="4"/>
        <v>41400</v>
      </c>
      <c r="L27" s="52"/>
      <c r="M27" s="126"/>
      <c r="N27" s="248">
        <v>25000</v>
      </c>
      <c r="O27" s="183"/>
      <c r="P27" s="43"/>
      <c r="Q27" s="44"/>
      <c r="R27" s="44"/>
      <c r="S27" s="40"/>
      <c r="T27" s="82"/>
      <c r="V27" s="32"/>
      <c r="W27" s="32"/>
    </row>
    <row r="28" spans="1:24" x14ac:dyDescent="0.25">
      <c r="A28" s="78">
        <v>47849</v>
      </c>
      <c r="B28" s="52"/>
      <c r="C28" s="139">
        <f t="shared" si="0"/>
        <v>795</v>
      </c>
      <c r="D28" s="52"/>
      <c r="E28" s="139">
        <f t="shared" si="1"/>
        <v>25</v>
      </c>
      <c r="F28" s="52"/>
      <c r="G28" s="129">
        <f t="shared" si="2"/>
        <v>4</v>
      </c>
      <c r="H28" s="52"/>
      <c r="I28" s="76">
        <f t="shared" si="3"/>
        <v>15900</v>
      </c>
      <c r="J28" s="52"/>
      <c r="K28" s="76">
        <f t="shared" si="4"/>
        <v>40900</v>
      </c>
      <c r="L28" s="52"/>
      <c r="M28" s="76">
        <f>K28+K27</f>
        <v>82300</v>
      </c>
      <c r="N28" s="248">
        <v>25000</v>
      </c>
      <c r="O28" s="183"/>
      <c r="P28" s="43"/>
      <c r="Q28" s="44"/>
      <c r="R28" s="44"/>
      <c r="S28" s="40"/>
      <c r="T28" s="82"/>
      <c r="U28" s="32"/>
      <c r="V28" s="32"/>
      <c r="W28" s="32"/>
      <c r="X28" s="32"/>
    </row>
    <row r="29" spans="1:24" x14ac:dyDescent="0.25">
      <c r="A29" s="78">
        <v>48030</v>
      </c>
      <c r="B29" s="52"/>
      <c r="C29" s="139">
        <f t="shared" si="0"/>
        <v>770</v>
      </c>
      <c r="D29" s="52"/>
      <c r="E29" s="139">
        <f t="shared" si="1"/>
        <v>25</v>
      </c>
      <c r="F29" s="52"/>
      <c r="G29" s="129">
        <f t="shared" si="2"/>
        <v>4</v>
      </c>
      <c r="H29" s="52"/>
      <c r="I29" s="76">
        <f t="shared" si="3"/>
        <v>15400</v>
      </c>
      <c r="J29" s="52"/>
      <c r="K29" s="76">
        <f t="shared" si="4"/>
        <v>40400</v>
      </c>
      <c r="L29" s="52"/>
      <c r="M29" s="126"/>
      <c r="N29" s="248">
        <v>25000</v>
      </c>
      <c r="O29" s="183"/>
      <c r="P29" s="43"/>
      <c r="Q29" s="44"/>
      <c r="R29" s="44"/>
      <c r="S29" s="40"/>
      <c r="T29" s="82"/>
      <c r="V29" s="32"/>
    </row>
    <row r="30" spans="1:24" x14ac:dyDescent="0.25">
      <c r="A30" s="78">
        <v>48214</v>
      </c>
      <c r="B30" s="52"/>
      <c r="C30" s="139">
        <f t="shared" si="0"/>
        <v>745</v>
      </c>
      <c r="D30" s="52"/>
      <c r="E30" s="139">
        <f t="shared" si="1"/>
        <v>25</v>
      </c>
      <c r="F30" s="52"/>
      <c r="G30" s="129">
        <f t="shared" si="2"/>
        <v>4</v>
      </c>
      <c r="H30" s="52"/>
      <c r="I30" s="76">
        <f t="shared" si="3"/>
        <v>14900</v>
      </c>
      <c r="J30" s="52"/>
      <c r="K30" s="76">
        <f t="shared" si="4"/>
        <v>39900</v>
      </c>
      <c r="L30" s="52"/>
      <c r="M30" s="76">
        <f>K30+K29</f>
        <v>80300</v>
      </c>
      <c r="N30" s="248">
        <v>25000</v>
      </c>
      <c r="O30" s="183"/>
      <c r="P30" s="43"/>
      <c r="Q30" s="44"/>
      <c r="R30" s="44"/>
      <c r="S30" s="40"/>
      <c r="T30" s="82"/>
      <c r="U30" s="32"/>
      <c r="V30" s="32"/>
    </row>
    <row r="31" spans="1:24" x14ac:dyDescent="0.25">
      <c r="A31" s="78">
        <v>48396</v>
      </c>
      <c r="B31" s="52"/>
      <c r="C31" s="139">
        <f>C30-E30</f>
        <v>720</v>
      </c>
      <c r="D31" s="52"/>
      <c r="E31" s="139">
        <f t="shared" si="1"/>
        <v>25</v>
      </c>
      <c r="F31" s="52"/>
      <c r="G31" s="129">
        <f t="shared" si="2"/>
        <v>4</v>
      </c>
      <c r="H31" s="52"/>
      <c r="I31" s="76">
        <f t="shared" si="3"/>
        <v>14400</v>
      </c>
      <c r="J31" s="52"/>
      <c r="K31" s="76">
        <f t="shared" si="4"/>
        <v>39400</v>
      </c>
      <c r="L31" s="52"/>
      <c r="M31" s="126"/>
      <c r="N31" s="248">
        <v>25000</v>
      </c>
      <c r="O31" s="183"/>
      <c r="P31" s="43"/>
      <c r="Q31" s="44"/>
      <c r="R31" s="44"/>
      <c r="S31" s="40"/>
      <c r="T31" s="82"/>
      <c r="V31" s="32"/>
    </row>
    <row r="32" spans="1:24" x14ac:dyDescent="0.25">
      <c r="A32" s="78">
        <v>48580</v>
      </c>
      <c r="B32" s="52"/>
      <c r="C32" s="139">
        <f t="shared" si="0"/>
        <v>695</v>
      </c>
      <c r="D32" s="52"/>
      <c r="E32" s="139">
        <f t="shared" si="1"/>
        <v>25</v>
      </c>
      <c r="F32" s="52"/>
      <c r="G32" s="129">
        <f t="shared" si="2"/>
        <v>4</v>
      </c>
      <c r="H32" s="52"/>
      <c r="I32" s="76">
        <f t="shared" si="3"/>
        <v>13900</v>
      </c>
      <c r="J32" s="52"/>
      <c r="K32" s="76">
        <f t="shared" si="4"/>
        <v>38900</v>
      </c>
      <c r="L32" s="52"/>
      <c r="M32" s="76">
        <f>K32+K31</f>
        <v>78300</v>
      </c>
      <c r="N32" s="248">
        <v>25000</v>
      </c>
      <c r="O32" s="183"/>
      <c r="P32" s="43"/>
      <c r="Q32" s="44"/>
      <c r="R32" s="44"/>
      <c r="S32" s="40"/>
      <c r="T32" s="82"/>
      <c r="U32" s="32"/>
      <c r="V32" s="32"/>
    </row>
    <row r="33" spans="1:22" x14ac:dyDescent="0.25">
      <c r="A33" s="78">
        <v>48761</v>
      </c>
      <c r="B33" s="52"/>
      <c r="C33" s="139">
        <f t="shared" si="0"/>
        <v>670</v>
      </c>
      <c r="D33" s="139"/>
      <c r="E33" s="139">
        <f t="shared" si="1"/>
        <v>25</v>
      </c>
      <c r="F33" s="52"/>
      <c r="G33" s="129">
        <f t="shared" si="2"/>
        <v>4</v>
      </c>
      <c r="H33" s="52"/>
      <c r="I33" s="76">
        <f t="shared" si="3"/>
        <v>13400</v>
      </c>
      <c r="J33" s="120"/>
      <c r="K33" s="76">
        <f t="shared" si="4"/>
        <v>38400</v>
      </c>
      <c r="L33" s="120"/>
      <c r="M33" s="126"/>
      <c r="N33" s="248">
        <v>25000</v>
      </c>
      <c r="O33" s="183"/>
      <c r="P33" s="43"/>
      <c r="Q33" s="44"/>
      <c r="R33" s="44"/>
      <c r="S33" s="40"/>
      <c r="T33" s="82"/>
      <c r="V33" s="32"/>
    </row>
    <row r="34" spans="1:22" x14ac:dyDescent="0.25">
      <c r="A34" s="78">
        <v>48945</v>
      </c>
      <c r="B34" s="52"/>
      <c r="C34" s="139">
        <f t="shared" si="0"/>
        <v>645</v>
      </c>
      <c r="D34" s="52"/>
      <c r="E34" s="139">
        <f t="shared" si="1"/>
        <v>30</v>
      </c>
      <c r="F34" s="52"/>
      <c r="G34" s="129">
        <f t="shared" si="2"/>
        <v>4</v>
      </c>
      <c r="H34" s="52"/>
      <c r="I34" s="76">
        <f t="shared" si="3"/>
        <v>12900</v>
      </c>
      <c r="J34" s="52"/>
      <c r="K34" s="76">
        <f t="shared" si="4"/>
        <v>42900</v>
      </c>
      <c r="L34" s="52"/>
      <c r="M34" s="76">
        <f>K34+K33</f>
        <v>81300</v>
      </c>
      <c r="N34" s="248">
        <v>30000</v>
      </c>
      <c r="O34" s="183"/>
      <c r="P34" s="43"/>
      <c r="Q34" s="44"/>
      <c r="R34" s="44"/>
      <c r="S34" s="40"/>
      <c r="T34" s="82"/>
      <c r="U34" s="32"/>
      <c r="V34" s="32"/>
    </row>
    <row r="35" spans="1:22" x14ac:dyDescent="0.25">
      <c r="A35" s="78">
        <v>49126</v>
      </c>
      <c r="B35" s="52"/>
      <c r="C35" s="139">
        <f t="shared" si="0"/>
        <v>615</v>
      </c>
      <c r="D35" s="52"/>
      <c r="E35" s="139">
        <f t="shared" si="1"/>
        <v>30</v>
      </c>
      <c r="F35" s="52"/>
      <c r="G35" s="129">
        <f t="shared" si="2"/>
        <v>4</v>
      </c>
      <c r="H35" s="52"/>
      <c r="I35" s="76">
        <f t="shared" si="3"/>
        <v>12300</v>
      </c>
      <c r="J35" s="52"/>
      <c r="K35" s="76">
        <f t="shared" si="4"/>
        <v>42300</v>
      </c>
      <c r="L35" s="52"/>
      <c r="M35" s="126"/>
      <c r="N35" s="248">
        <v>30000</v>
      </c>
      <c r="O35" s="183"/>
      <c r="P35" s="43"/>
      <c r="Q35" s="44"/>
      <c r="R35" s="44"/>
      <c r="S35" s="40"/>
      <c r="T35" s="82"/>
      <c r="V35" s="32"/>
    </row>
    <row r="36" spans="1:22" x14ac:dyDescent="0.25">
      <c r="A36" s="78">
        <v>49310</v>
      </c>
      <c r="B36" s="52"/>
      <c r="C36" s="139">
        <f t="shared" si="0"/>
        <v>585</v>
      </c>
      <c r="D36" s="52"/>
      <c r="E36" s="139">
        <f t="shared" si="1"/>
        <v>30</v>
      </c>
      <c r="F36" s="52"/>
      <c r="G36" s="129">
        <f t="shared" si="2"/>
        <v>4</v>
      </c>
      <c r="H36" s="52"/>
      <c r="I36" s="76">
        <f t="shared" si="3"/>
        <v>11700</v>
      </c>
      <c r="J36" s="52"/>
      <c r="K36" s="76">
        <f t="shared" si="4"/>
        <v>41700</v>
      </c>
      <c r="L36" s="52"/>
      <c r="M36" s="76">
        <f>K36+K35</f>
        <v>84000</v>
      </c>
      <c r="N36" s="248">
        <v>30000</v>
      </c>
      <c r="O36" s="183"/>
      <c r="P36" s="43"/>
      <c r="Q36" s="44"/>
      <c r="R36" s="44"/>
      <c r="S36" s="40"/>
      <c r="T36" s="82"/>
      <c r="U36" s="32"/>
      <c r="V36" s="32"/>
    </row>
    <row r="37" spans="1:22" x14ac:dyDescent="0.25">
      <c r="A37" s="78">
        <v>49491</v>
      </c>
      <c r="B37" s="52"/>
      <c r="C37" s="139">
        <f t="shared" si="0"/>
        <v>555</v>
      </c>
      <c r="D37" s="52"/>
      <c r="E37" s="139">
        <f t="shared" si="1"/>
        <v>30</v>
      </c>
      <c r="F37" s="52"/>
      <c r="G37" s="129">
        <f t="shared" si="2"/>
        <v>4</v>
      </c>
      <c r="H37" s="52"/>
      <c r="I37" s="76">
        <f t="shared" si="3"/>
        <v>11100</v>
      </c>
      <c r="J37" s="52"/>
      <c r="K37" s="76">
        <f t="shared" si="4"/>
        <v>41100</v>
      </c>
      <c r="L37" s="52"/>
      <c r="M37" s="126"/>
      <c r="N37" s="248">
        <v>30000</v>
      </c>
      <c r="O37" s="183"/>
      <c r="P37" s="43"/>
      <c r="Q37" s="44"/>
      <c r="R37" s="44"/>
      <c r="S37" s="40"/>
      <c r="T37" s="82"/>
      <c r="V37" s="32"/>
    </row>
    <row r="38" spans="1:22" x14ac:dyDescent="0.25">
      <c r="A38" s="78">
        <v>49675</v>
      </c>
      <c r="B38" s="52"/>
      <c r="C38" s="139">
        <f t="shared" si="0"/>
        <v>525</v>
      </c>
      <c r="D38" s="52"/>
      <c r="E38" s="139">
        <f t="shared" si="1"/>
        <v>30</v>
      </c>
      <c r="F38" s="52"/>
      <c r="G38" s="129">
        <f t="shared" si="2"/>
        <v>4</v>
      </c>
      <c r="H38" s="52"/>
      <c r="I38" s="76">
        <f t="shared" si="3"/>
        <v>10500</v>
      </c>
      <c r="J38" s="52"/>
      <c r="K38" s="76">
        <f t="shared" si="4"/>
        <v>40500</v>
      </c>
      <c r="L38" s="52"/>
      <c r="M38" s="76">
        <f>K38+K37</f>
        <v>81600</v>
      </c>
      <c r="N38" s="248">
        <v>30000</v>
      </c>
      <c r="O38" s="183"/>
      <c r="P38" s="43"/>
      <c r="Q38" s="44"/>
      <c r="R38" s="44"/>
      <c r="S38" s="40"/>
      <c r="T38" s="82"/>
      <c r="U38" s="32"/>
      <c r="V38" s="32"/>
    </row>
    <row r="39" spans="1:22" x14ac:dyDescent="0.25">
      <c r="A39" s="78">
        <v>49857</v>
      </c>
      <c r="B39" s="52"/>
      <c r="C39" s="139">
        <f t="shared" si="0"/>
        <v>495</v>
      </c>
      <c r="D39" s="52"/>
      <c r="E39" s="139">
        <f t="shared" si="1"/>
        <v>30</v>
      </c>
      <c r="F39" s="52"/>
      <c r="G39" s="129">
        <f t="shared" si="2"/>
        <v>4</v>
      </c>
      <c r="H39" s="52"/>
      <c r="I39" s="76">
        <f t="shared" si="3"/>
        <v>9900</v>
      </c>
      <c r="J39" s="52"/>
      <c r="K39" s="76">
        <f t="shared" si="4"/>
        <v>39900</v>
      </c>
      <c r="L39" s="52"/>
      <c r="M39" s="126"/>
      <c r="N39" s="248">
        <v>30000</v>
      </c>
      <c r="O39" s="183"/>
      <c r="P39" s="43"/>
      <c r="Q39" s="44"/>
      <c r="R39" s="44"/>
      <c r="S39" s="40"/>
      <c r="T39" s="82"/>
      <c r="V39" s="32"/>
    </row>
    <row r="40" spans="1:22" x14ac:dyDescent="0.25">
      <c r="A40" s="78">
        <v>50041</v>
      </c>
      <c r="B40" s="52"/>
      <c r="C40" s="139">
        <f t="shared" si="0"/>
        <v>465</v>
      </c>
      <c r="D40" s="52"/>
      <c r="E40" s="139">
        <f t="shared" si="1"/>
        <v>30</v>
      </c>
      <c r="F40" s="52"/>
      <c r="G40" s="129">
        <f t="shared" si="2"/>
        <v>4</v>
      </c>
      <c r="H40" s="52"/>
      <c r="I40" s="76">
        <f t="shared" si="3"/>
        <v>9300</v>
      </c>
      <c r="J40" s="52"/>
      <c r="K40" s="76">
        <f t="shared" si="4"/>
        <v>39300</v>
      </c>
      <c r="L40" s="52"/>
      <c r="M40" s="76">
        <f>K40+K39</f>
        <v>79200</v>
      </c>
      <c r="N40" s="248">
        <v>30000</v>
      </c>
      <c r="O40" s="183"/>
      <c r="P40" s="43"/>
      <c r="Q40" s="44"/>
      <c r="R40" s="44"/>
      <c r="S40" s="40"/>
      <c r="T40" s="82"/>
      <c r="U40" s="32"/>
      <c r="V40" s="32"/>
    </row>
    <row r="41" spans="1:22" x14ac:dyDescent="0.25">
      <c r="A41" s="78">
        <v>50222</v>
      </c>
      <c r="B41" s="52"/>
      <c r="C41" s="139">
        <f t="shared" si="0"/>
        <v>435</v>
      </c>
      <c r="D41" s="52"/>
      <c r="E41" s="139">
        <f t="shared" si="1"/>
        <v>30</v>
      </c>
      <c r="F41" s="52"/>
      <c r="G41" s="129">
        <f t="shared" si="2"/>
        <v>4</v>
      </c>
      <c r="H41" s="52"/>
      <c r="I41" s="76">
        <f t="shared" si="3"/>
        <v>8700</v>
      </c>
      <c r="J41" s="52"/>
      <c r="K41" s="76">
        <f t="shared" si="4"/>
        <v>38700</v>
      </c>
      <c r="L41" s="52"/>
      <c r="M41" s="126"/>
      <c r="N41" s="248">
        <v>30000</v>
      </c>
      <c r="O41" s="183"/>
      <c r="P41" s="43"/>
      <c r="Q41" s="44"/>
      <c r="R41" s="44"/>
      <c r="S41" s="40"/>
      <c r="T41" s="82"/>
      <c r="U41" s="32"/>
      <c r="V41" s="32"/>
    </row>
    <row r="42" spans="1:22" x14ac:dyDescent="0.25">
      <c r="A42" s="78">
        <v>50406</v>
      </c>
      <c r="B42" s="52"/>
      <c r="C42" s="139">
        <f t="shared" si="0"/>
        <v>405</v>
      </c>
      <c r="D42" s="52"/>
      <c r="E42" s="139">
        <f t="shared" si="1"/>
        <v>35</v>
      </c>
      <c r="F42" s="52"/>
      <c r="G42" s="129">
        <f t="shared" si="2"/>
        <v>4</v>
      </c>
      <c r="H42" s="52"/>
      <c r="I42" s="76">
        <f t="shared" si="3"/>
        <v>8100</v>
      </c>
      <c r="J42" s="52"/>
      <c r="K42" s="76">
        <f t="shared" si="4"/>
        <v>43100</v>
      </c>
      <c r="L42" s="52"/>
      <c r="M42" s="76">
        <f>K42+K41</f>
        <v>81800</v>
      </c>
      <c r="N42" s="248">
        <v>35000</v>
      </c>
      <c r="O42" s="183"/>
      <c r="P42" s="43"/>
      <c r="Q42" s="44"/>
      <c r="R42" s="44"/>
      <c r="S42" s="40"/>
      <c r="T42" s="82"/>
      <c r="U42" s="32"/>
      <c r="V42" s="32"/>
    </row>
    <row r="43" spans="1:22" x14ac:dyDescent="0.25">
      <c r="A43" s="78">
        <v>50587</v>
      </c>
      <c r="B43" s="52"/>
      <c r="C43" s="139">
        <f t="shared" si="0"/>
        <v>370</v>
      </c>
      <c r="D43" s="52"/>
      <c r="E43" s="139">
        <f t="shared" si="1"/>
        <v>35</v>
      </c>
      <c r="F43" s="52"/>
      <c r="G43" s="129">
        <f t="shared" si="2"/>
        <v>4</v>
      </c>
      <c r="H43" s="52"/>
      <c r="I43" s="76">
        <f t="shared" si="3"/>
        <v>7400</v>
      </c>
      <c r="J43" s="52"/>
      <c r="K43" s="76">
        <f t="shared" si="4"/>
        <v>42400</v>
      </c>
      <c r="L43" s="52"/>
      <c r="M43" s="126"/>
      <c r="N43" s="248">
        <v>35000</v>
      </c>
      <c r="O43" s="183"/>
      <c r="P43" s="43"/>
      <c r="Q43" s="44"/>
      <c r="R43" s="44"/>
      <c r="S43" s="40"/>
      <c r="T43" s="82"/>
      <c r="U43" s="32"/>
      <c r="V43" s="32"/>
    </row>
    <row r="44" spans="1:22" x14ac:dyDescent="0.25">
      <c r="A44" s="78">
        <v>50771</v>
      </c>
      <c r="B44" s="52"/>
      <c r="C44" s="139">
        <f t="shared" si="0"/>
        <v>335</v>
      </c>
      <c r="D44" s="52"/>
      <c r="E44" s="139">
        <f t="shared" si="1"/>
        <v>35</v>
      </c>
      <c r="F44" s="52"/>
      <c r="G44" s="129">
        <f t="shared" si="2"/>
        <v>4</v>
      </c>
      <c r="H44" s="52"/>
      <c r="I44" s="76">
        <f t="shared" si="3"/>
        <v>6700</v>
      </c>
      <c r="J44" s="52"/>
      <c r="K44" s="76">
        <f t="shared" si="4"/>
        <v>41700</v>
      </c>
      <c r="L44" s="52"/>
      <c r="M44" s="76">
        <f>K44+K43</f>
        <v>84100</v>
      </c>
      <c r="N44" s="248">
        <v>35000</v>
      </c>
      <c r="O44" s="183"/>
      <c r="P44" s="43"/>
      <c r="Q44" s="44"/>
      <c r="R44" s="44"/>
    </row>
    <row r="45" spans="1:22" x14ac:dyDescent="0.25">
      <c r="A45" s="78">
        <v>50952</v>
      </c>
      <c r="B45" s="52"/>
      <c r="C45" s="139">
        <f t="shared" si="0"/>
        <v>300</v>
      </c>
      <c r="D45" s="52"/>
      <c r="E45" s="139">
        <f t="shared" si="1"/>
        <v>35</v>
      </c>
      <c r="F45" s="52"/>
      <c r="G45" s="129">
        <f t="shared" si="2"/>
        <v>4</v>
      </c>
      <c r="H45" s="52"/>
      <c r="I45" s="76">
        <f t="shared" si="3"/>
        <v>6000</v>
      </c>
      <c r="J45" s="52"/>
      <c r="K45" s="76">
        <f t="shared" si="4"/>
        <v>41000</v>
      </c>
      <c r="L45" s="52"/>
      <c r="M45" s="126"/>
      <c r="N45" s="248">
        <v>35000</v>
      </c>
      <c r="O45" s="183"/>
      <c r="P45" s="43"/>
      <c r="Q45" s="44"/>
      <c r="R45" s="44"/>
    </row>
    <row r="46" spans="1:22" x14ac:dyDescent="0.25">
      <c r="A46" s="78">
        <v>51136</v>
      </c>
      <c r="B46" s="52"/>
      <c r="C46" s="139">
        <f t="shared" si="0"/>
        <v>265</v>
      </c>
      <c r="D46" s="52"/>
      <c r="E46" s="139">
        <f t="shared" si="1"/>
        <v>35</v>
      </c>
      <c r="F46" s="52"/>
      <c r="G46" s="129">
        <f t="shared" si="2"/>
        <v>4</v>
      </c>
      <c r="H46" s="52"/>
      <c r="I46" s="76">
        <f t="shared" si="3"/>
        <v>5300</v>
      </c>
      <c r="J46" s="52"/>
      <c r="K46" s="76">
        <f t="shared" si="4"/>
        <v>40300</v>
      </c>
      <c r="L46" s="52"/>
      <c r="M46" s="76">
        <f>K46+K45</f>
        <v>81300</v>
      </c>
      <c r="N46" s="248">
        <v>35000</v>
      </c>
      <c r="O46" s="183"/>
      <c r="P46" s="43"/>
      <c r="Q46" s="44"/>
      <c r="R46" s="44"/>
    </row>
    <row r="47" spans="1:22" x14ac:dyDescent="0.25">
      <c r="A47" s="78">
        <v>51318</v>
      </c>
      <c r="B47" s="52"/>
      <c r="C47" s="139">
        <f t="shared" si="0"/>
        <v>230</v>
      </c>
      <c r="D47" s="52"/>
      <c r="E47" s="139">
        <f t="shared" si="1"/>
        <v>35</v>
      </c>
      <c r="F47" s="52"/>
      <c r="G47" s="129">
        <f t="shared" si="2"/>
        <v>4</v>
      </c>
      <c r="H47" s="52"/>
      <c r="I47" s="76">
        <f t="shared" si="3"/>
        <v>4600</v>
      </c>
      <c r="J47" s="52"/>
      <c r="K47" s="76">
        <f t="shared" si="4"/>
        <v>39600</v>
      </c>
      <c r="L47" s="52"/>
      <c r="M47" s="126"/>
      <c r="N47" s="248">
        <v>35000</v>
      </c>
      <c r="O47" s="183"/>
      <c r="P47" s="43"/>
      <c r="Q47" s="44"/>
      <c r="R47" s="44"/>
    </row>
    <row r="48" spans="1:22" x14ac:dyDescent="0.25">
      <c r="A48" s="78">
        <v>51502</v>
      </c>
      <c r="B48" s="52"/>
      <c r="C48" s="139">
        <f t="shared" si="0"/>
        <v>195</v>
      </c>
      <c r="D48" s="52"/>
      <c r="E48" s="139">
        <f t="shared" si="1"/>
        <v>35</v>
      </c>
      <c r="F48" s="52"/>
      <c r="G48" s="129">
        <f t="shared" si="2"/>
        <v>4</v>
      </c>
      <c r="H48" s="52"/>
      <c r="I48" s="76">
        <f t="shared" si="3"/>
        <v>3900</v>
      </c>
      <c r="J48" s="52"/>
      <c r="K48" s="76">
        <f t="shared" si="4"/>
        <v>38900</v>
      </c>
      <c r="L48" s="52"/>
      <c r="M48" s="76">
        <f>K48+K47</f>
        <v>78500</v>
      </c>
      <c r="N48" s="248">
        <v>35000</v>
      </c>
      <c r="O48" s="183"/>
      <c r="P48" s="43"/>
      <c r="Q48" s="44"/>
      <c r="R48" s="44"/>
    </row>
    <row r="49" spans="1:18" x14ac:dyDescent="0.25">
      <c r="A49" s="78">
        <v>51683</v>
      </c>
      <c r="B49" s="52"/>
      <c r="C49" s="139">
        <f t="shared" si="0"/>
        <v>160</v>
      </c>
      <c r="D49" s="52"/>
      <c r="E49" s="139">
        <f t="shared" si="1"/>
        <v>40</v>
      </c>
      <c r="F49" s="52"/>
      <c r="G49" s="129">
        <f t="shared" si="2"/>
        <v>4</v>
      </c>
      <c r="H49" s="52"/>
      <c r="I49" s="76">
        <f t="shared" si="3"/>
        <v>3200</v>
      </c>
      <c r="J49" s="52"/>
      <c r="K49" s="76">
        <f t="shared" si="4"/>
        <v>43200</v>
      </c>
      <c r="L49" s="52"/>
      <c r="M49" s="76"/>
      <c r="N49" s="248">
        <v>40000</v>
      </c>
      <c r="O49" s="183"/>
      <c r="P49" s="43"/>
      <c r="Q49" s="44"/>
      <c r="R49" s="44"/>
    </row>
    <row r="50" spans="1:18" x14ac:dyDescent="0.25">
      <c r="A50" s="78">
        <v>51867</v>
      </c>
      <c r="B50" s="52"/>
      <c r="C50" s="139">
        <f t="shared" si="0"/>
        <v>120</v>
      </c>
      <c r="D50" s="52"/>
      <c r="E50" s="139">
        <f t="shared" si="1"/>
        <v>40</v>
      </c>
      <c r="F50" s="52"/>
      <c r="G50" s="129">
        <f t="shared" si="2"/>
        <v>4</v>
      </c>
      <c r="H50" s="52"/>
      <c r="I50" s="76">
        <f t="shared" si="3"/>
        <v>2400</v>
      </c>
      <c r="J50" s="52"/>
      <c r="K50" s="76">
        <f t="shared" si="4"/>
        <v>42400</v>
      </c>
      <c r="L50" s="52"/>
      <c r="M50" s="126">
        <f>SUM(K49:K50)</f>
        <v>85600</v>
      </c>
      <c r="N50" s="248">
        <v>40000</v>
      </c>
      <c r="O50" s="183"/>
      <c r="P50" s="43"/>
      <c r="Q50" s="44"/>
      <c r="R50" s="44"/>
    </row>
    <row r="51" spans="1:18" x14ac:dyDescent="0.25">
      <c r="A51" s="78">
        <v>52048</v>
      </c>
      <c r="B51" s="52"/>
      <c r="C51" s="139">
        <f t="shared" si="0"/>
        <v>80</v>
      </c>
      <c r="D51" s="52"/>
      <c r="E51" s="139">
        <f>N51/1000</f>
        <v>40</v>
      </c>
      <c r="F51" s="52"/>
      <c r="G51" s="129">
        <f t="shared" si="2"/>
        <v>4</v>
      </c>
      <c r="H51" s="52"/>
      <c r="I51" s="76">
        <f t="shared" si="3"/>
        <v>1600</v>
      </c>
      <c r="J51" s="52"/>
      <c r="K51" s="76">
        <f>E51*1000+I51</f>
        <v>41600</v>
      </c>
      <c r="L51" s="52"/>
      <c r="M51" s="126"/>
      <c r="N51" s="248">
        <v>40000</v>
      </c>
      <c r="O51" s="183"/>
      <c r="P51" s="43"/>
      <c r="Q51" s="44"/>
      <c r="R51" s="44"/>
    </row>
    <row r="52" spans="1:18" x14ac:dyDescent="0.25">
      <c r="A52" s="78">
        <v>52232</v>
      </c>
      <c r="B52" s="52"/>
      <c r="C52" s="265">
        <f t="shared" si="0"/>
        <v>40</v>
      </c>
      <c r="D52" s="52"/>
      <c r="E52" s="139">
        <f>N52/1000</f>
        <v>40</v>
      </c>
      <c r="F52" s="52"/>
      <c r="G52" s="266">
        <f t="shared" si="2"/>
        <v>4</v>
      </c>
      <c r="H52" s="52"/>
      <c r="I52" s="76">
        <f t="shared" si="3"/>
        <v>800</v>
      </c>
      <c r="J52" s="52"/>
      <c r="K52" s="76">
        <f t="shared" si="4"/>
        <v>40800</v>
      </c>
      <c r="L52" s="52"/>
      <c r="M52" s="126">
        <f>K51+K52</f>
        <v>82400</v>
      </c>
      <c r="N52" s="248">
        <v>40000</v>
      </c>
      <c r="O52" s="183"/>
      <c r="P52" s="43"/>
      <c r="Q52" s="44"/>
      <c r="R52" s="44"/>
    </row>
    <row r="53" spans="1:18" x14ac:dyDescent="0.25">
      <c r="A53" s="78"/>
      <c r="B53" s="52"/>
      <c r="C53" s="57"/>
      <c r="D53" s="52"/>
      <c r="E53" s="148"/>
      <c r="F53" s="52"/>
      <c r="G53" s="65"/>
      <c r="H53" s="52"/>
      <c r="I53" s="132"/>
      <c r="J53" s="52"/>
      <c r="K53" s="132"/>
      <c r="L53" s="52"/>
      <c r="M53" s="130"/>
      <c r="O53" s="155"/>
      <c r="P53" s="43"/>
      <c r="Q53" s="44"/>
      <c r="R53" s="44"/>
    </row>
    <row r="54" spans="1:18" ht="16.5" thickBot="1" x14ac:dyDescent="0.3">
      <c r="A54" s="78"/>
      <c r="B54" s="52"/>
      <c r="C54" s="59"/>
      <c r="D54" s="52"/>
      <c r="E54" s="174">
        <f>SUBTOTAL(109,E12:E52)</f>
        <v>1115</v>
      </c>
      <c r="F54" s="52"/>
      <c r="G54" s="76"/>
      <c r="H54" s="52"/>
      <c r="I54" s="175">
        <f>SUBTOTAL(109,I12:I53)</f>
        <v>538500</v>
      </c>
      <c r="J54" s="120"/>
      <c r="K54" s="175">
        <f>SUBTOTAL(109,K12:K53)</f>
        <v>1653500</v>
      </c>
      <c r="L54" s="120"/>
      <c r="M54" s="175">
        <f>SUBTOTAL(109,M12:M53)</f>
        <v>1653500</v>
      </c>
      <c r="N54" s="33"/>
      <c r="O54" s="185"/>
      <c r="P54" s="43"/>
      <c r="Q54" s="44"/>
      <c r="R54" s="44"/>
    </row>
    <row r="55" spans="1:18" ht="16.5" thickTop="1" x14ac:dyDescent="0.25">
      <c r="A55" s="78"/>
      <c r="B55" s="52"/>
      <c r="C55" s="59"/>
      <c r="D55" s="52"/>
      <c r="E55" s="140"/>
      <c r="F55" s="52"/>
      <c r="G55" s="76"/>
      <c r="H55" s="52"/>
      <c r="I55" s="140"/>
      <c r="J55" s="52"/>
      <c r="K55" s="140"/>
      <c r="L55" s="52"/>
      <c r="M55" s="140"/>
      <c r="N55" s="33"/>
      <c r="O55" s="155"/>
      <c r="P55" s="43"/>
      <c r="Q55" s="44"/>
      <c r="R55" s="44"/>
    </row>
    <row r="56" spans="1:18" x14ac:dyDescent="0.25">
      <c r="A56" s="249" t="s">
        <v>149</v>
      </c>
      <c r="B56" s="109"/>
      <c r="C56" s="83"/>
      <c r="D56" s="109"/>
      <c r="E56" s="83"/>
      <c r="F56" s="109"/>
      <c r="G56" s="250"/>
      <c r="H56" s="109"/>
      <c r="I56" s="83"/>
      <c r="J56" s="91"/>
      <c r="K56" s="42"/>
      <c r="L56" s="91"/>
      <c r="M56" s="42"/>
      <c r="O56" s="155"/>
      <c r="P56" s="44"/>
      <c r="Q56" s="44"/>
      <c r="R56" s="44"/>
    </row>
    <row r="57" spans="1:18" x14ac:dyDescent="0.25">
      <c r="A57" s="45">
        <f>'Proj Cost'!A45+1</f>
        <v>5</v>
      </c>
      <c r="B57" s="91"/>
      <c r="C57" s="42"/>
      <c r="D57" s="91"/>
      <c r="E57" s="42"/>
      <c r="F57" s="91"/>
      <c r="G57" s="113"/>
      <c r="H57" s="91"/>
      <c r="I57" s="42"/>
      <c r="J57" s="91"/>
      <c r="K57" s="42"/>
      <c r="L57" s="91"/>
      <c r="M57" s="42"/>
      <c r="O57" s="155"/>
      <c r="P57" s="44"/>
      <c r="Q57" s="44"/>
      <c r="R57" s="44"/>
    </row>
    <row r="58" spans="1:18" x14ac:dyDescent="0.25">
      <c r="A58" s="116"/>
      <c r="C58" s="76"/>
      <c r="E58" s="76"/>
      <c r="G58" s="77"/>
      <c r="I58" s="76"/>
      <c r="K58" s="76"/>
      <c r="M58" s="76"/>
      <c r="O58" s="155"/>
      <c r="P58" s="44"/>
      <c r="Q58" s="44"/>
      <c r="R58" s="44"/>
    </row>
    <row r="59" spans="1:18" x14ac:dyDescent="0.25">
      <c r="A59" s="116"/>
      <c r="B59" s="91"/>
      <c r="C59" s="76"/>
      <c r="D59" s="91"/>
      <c r="E59" s="76"/>
      <c r="F59" s="91"/>
      <c r="G59" s="77"/>
      <c r="H59" s="91"/>
      <c r="I59" s="76"/>
      <c r="J59" s="91"/>
      <c r="K59" s="76"/>
      <c r="L59" s="91"/>
      <c r="M59" s="76">
        <f>COUNT(M13:M52)</f>
        <v>20</v>
      </c>
      <c r="O59" s="155"/>
      <c r="P59" s="44"/>
      <c r="Q59" s="44"/>
      <c r="R59" s="44"/>
    </row>
    <row r="60" spans="1:18" x14ac:dyDescent="0.25">
      <c r="A60" s="78"/>
      <c r="B60" s="91"/>
      <c r="C60" s="76"/>
      <c r="D60" s="91"/>
      <c r="E60" s="76"/>
      <c r="F60" s="91"/>
      <c r="G60" s="77"/>
      <c r="H60" s="91"/>
      <c r="I60" s="76"/>
      <c r="J60" s="91"/>
      <c r="K60" s="76"/>
      <c r="L60" s="91"/>
      <c r="M60" s="76"/>
      <c r="O60" s="155"/>
      <c r="P60" s="44"/>
      <c r="Q60" s="44"/>
      <c r="R60" s="44"/>
    </row>
    <row r="61" spans="1:18" x14ac:dyDescent="0.25">
      <c r="B61" s="52"/>
      <c r="D61" s="52"/>
      <c r="E61" s="46"/>
      <c r="F61" s="52"/>
      <c r="H61" s="52"/>
      <c r="I61" s="47"/>
      <c r="J61" s="52"/>
      <c r="K61" s="47"/>
      <c r="L61" s="52"/>
      <c r="M61" s="47"/>
      <c r="O61" s="186"/>
      <c r="P61" s="44"/>
      <c r="Q61" s="44"/>
      <c r="R61" s="44"/>
    </row>
    <row r="62" spans="1:18" x14ac:dyDescent="0.25">
      <c r="B62" s="91"/>
      <c r="D62" s="91"/>
      <c r="E62" s="46"/>
      <c r="F62" s="91"/>
      <c r="H62" s="91"/>
      <c r="I62" s="47"/>
      <c r="J62" s="91"/>
      <c r="K62" s="47"/>
      <c r="L62" s="91"/>
      <c r="M62" s="47"/>
      <c r="O62" s="44"/>
      <c r="P62" s="44"/>
      <c r="Q62" s="44"/>
      <c r="R62" s="44"/>
    </row>
    <row r="63" spans="1:18" x14ac:dyDescent="0.25">
      <c r="E63" s="46"/>
      <c r="I63" s="47"/>
      <c r="K63" s="47"/>
      <c r="M63" s="47"/>
      <c r="O63" s="44"/>
      <c r="P63" s="44"/>
      <c r="Q63" s="44"/>
      <c r="R63" s="44"/>
    </row>
    <row r="64" spans="1:18" x14ac:dyDescent="0.25">
      <c r="E64" s="46"/>
      <c r="I64" s="47"/>
      <c r="K64" s="47"/>
      <c r="M64" s="47"/>
      <c r="O64" s="44"/>
      <c r="P64" s="44"/>
      <c r="Q64" s="44"/>
      <c r="R64" s="44"/>
    </row>
    <row r="65" spans="1:18" x14ac:dyDescent="0.25">
      <c r="O65" s="47"/>
      <c r="P65" s="44"/>
      <c r="Q65" s="44"/>
      <c r="R65" s="44"/>
    </row>
    <row r="66" spans="1:18" x14ac:dyDescent="0.25">
      <c r="A66" s="91"/>
      <c r="C66" s="91"/>
      <c r="E66" s="91"/>
      <c r="G66" s="91"/>
      <c r="I66" s="91"/>
      <c r="K66" s="91"/>
      <c r="M66" s="91"/>
      <c r="O66" s="44"/>
      <c r="P66" s="44"/>
      <c r="Q66" s="44"/>
      <c r="R66" s="44"/>
    </row>
    <row r="67" spans="1:18" x14ac:dyDescent="0.25">
      <c r="A67" s="91"/>
      <c r="C67" s="91"/>
      <c r="E67" s="91"/>
      <c r="G67" s="91"/>
      <c r="I67" s="91"/>
      <c r="K67" s="91"/>
      <c r="M67" s="91"/>
      <c r="O67" s="44"/>
      <c r="P67" s="44"/>
      <c r="Q67" s="44"/>
      <c r="R67" s="44"/>
    </row>
    <row r="68" spans="1:18" x14ac:dyDescent="0.25">
      <c r="A68" s="52"/>
      <c r="C68" s="52"/>
      <c r="E68" s="52"/>
      <c r="G68" s="52"/>
      <c r="I68" s="52"/>
      <c r="K68" s="52"/>
      <c r="M68" s="52"/>
      <c r="O68" s="44"/>
      <c r="P68" s="44"/>
      <c r="Q68" s="44"/>
      <c r="R68" s="44"/>
    </row>
    <row r="69" spans="1:18" x14ac:dyDescent="0.25">
      <c r="A69" s="91"/>
      <c r="C69" s="91"/>
      <c r="E69" s="91"/>
      <c r="G69" s="91"/>
      <c r="I69" s="91"/>
      <c r="K69" s="91"/>
      <c r="M69" s="91"/>
      <c r="O69" s="44"/>
      <c r="P69" s="44"/>
      <c r="Q69" s="44"/>
      <c r="R69" s="44"/>
    </row>
    <row r="70" spans="1:18" x14ac:dyDescent="0.25">
      <c r="M70" s="32"/>
      <c r="O70" s="44"/>
      <c r="P70" s="44"/>
      <c r="Q70" s="44"/>
      <c r="R70" s="44"/>
    </row>
    <row r="72" spans="1:18" x14ac:dyDescent="0.25">
      <c r="M72" s="121"/>
    </row>
  </sheetData>
  <printOptions horizontalCentered="1"/>
  <pageMargins left="0.75" right="0.75" top="1" bottom="1" header="0.5" footer="0.5"/>
  <pageSetup scale="74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WhiteSpace="0" view="pageBreakPreview" zoomScale="80" zoomScaleNormal="100" zoomScaleSheetLayoutView="80" zoomScalePageLayoutView="70" workbookViewId="0">
      <selection activeCell="P12" sqref="P12"/>
    </sheetView>
  </sheetViews>
  <sheetFormatPr defaultColWidth="15.7109375" defaultRowHeight="15.75" x14ac:dyDescent="0.25"/>
  <cols>
    <col min="1" max="1" width="9.42578125" style="96" bestFit="1" customWidth="1"/>
    <col min="2" max="2" width="2.5703125" style="96" customWidth="1"/>
    <col min="3" max="3" width="11.7109375" style="96" customWidth="1"/>
    <col min="4" max="4" width="2.5703125" style="96" customWidth="1"/>
    <col min="5" max="5" width="9.42578125" style="96" bestFit="1" customWidth="1"/>
    <col min="6" max="6" width="2.5703125" style="96" customWidth="1"/>
    <col min="7" max="7" width="8.5703125" style="96" bestFit="1" customWidth="1"/>
    <col min="8" max="8" width="2.5703125" style="96" customWidth="1"/>
    <col min="9" max="9" width="14.7109375" style="96" bestFit="1" customWidth="1"/>
    <col min="10" max="10" width="2.5703125" style="96" customWidth="1"/>
    <col min="11" max="11" width="15.85546875" style="96" customWidth="1"/>
    <col min="12" max="12" width="2.5703125" style="96" customWidth="1"/>
    <col min="13" max="13" width="15.28515625" style="96" customWidth="1"/>
    <col min="14" max="14" width="14.5703125" style="96" customWidth="1"/>
    <col min="15" max="15" width="32.85546875" style="96" customWidth="1"/>
    <col min="16" max="16" width="25.140625" style="96" bestFit="1" customWidth="1"/>
    <col min="17" max="16384" width="15.7109375" style="96"/>
  </cols>
  <sheetData>
    <row r="1" spans="1:27" x14ac:dyDescent="0.25">
      <c r="A1" s="141" t="str">
        <f>'Cap Plan P1'!A1</f>
        <v>ANYTOWN WATER UTILITY/SEWAGE WORKS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O1" s="187"/>
      <c r="P1" s="188"/>
    </row>
    <row r="2" spans="1:27" x14ac:dyDescent="0.25">
      <c r="A2" s="103"/>
      <c r="I2" s="82"/>
      <c r="M2" s="80"/>
      <c r="O2" s="44"/>
      <c r="P2" s="44"/>
      <c r="AA2" s="96">
        <v>5</v>
      </c>
    </row>
    <row r="3" spans="1:27" x14ac:dyDescent="0.25">
      <c r="A3" s="39" t="s">
        <v>151</v>
      </c>
      <c r="B3" s="141"/>
      <c r="C3" s="18"/>
      <c r="D3" s="141"/>
      <c r="E3" s="18"/>
      <c r="F3" s="141"/>
      <c r="G3" s="37"/>
      <c r="H3" s="141"/>
      <c r="I3" s="38"/>
      <c r="J3" s="141"/>
      <c r="K3" s="38"/>
      <c r="L3" s="141"/>
      <c r="M3" s="38"/>
      <c r="N3" s="33"/>
      <c r="O3" s="189"/>
      <c r="P3" s="190"/>
    </row>
    <row r="4" spans="1:27" x14ac:dyDescent="0.25">
      <c r="A4" s="39" t="s">
        <v>150</v>
      </c>
      <c r="B4" s="91"/>
      <c r="C4" s="45"/>
      <c r="D4" s="91"/>
      <c r="E4" s="45"/>
      <c r="F4" s="91"/>
      <c r="G4" s="42"/>
      <c r="H4" s="91"/>
      <c r="I4" s="27"/>
      <c r="J4" s="91"/>
      <c r="K4" s="27"/>
      <c r="L4" s="91"/>
      <c r="M4" s="38"/>
      <c r="N4" s="33"/>
      <c r="O4" s="155"/>
      <c r="P4" s="191">
        <v>0.04</v>
      </c>
      <c r="U4" s="80"/>
    </row>
    <row r="5" spans="1:27" x14ac:dyDescent="0.25">
      <c r="A5" s="36" t="s">
        <v>152</v>
      </c>
      <c r="B5" s="91"/>
      <c r="C5" s="45"/>
      <c r="D5" s="91"/>
      <c r="E5" s="45"/>
      <c r="F5" s="91"/>
      <c r="G5" s="42"/>
      <c r="H5" s="91"/>
      <c r="I5" s="27"/>
      <c r="J5" s="91"/>
      <c r="K5" s="27"/>
      <c r="L5" s="91"/>
      <c r="M5" s="27"/>
      <c r="N5" s="33"/>
      <c r="O5" s="155"/>
      <c r="P5" s="192"/>
    </row>
    <row r="6" spans="1:27" x14ac:dyDescent="0.25">
      <c r="A6" s="36"/>
      <c r="B6" s="91"/>
      <c r="C6" s="45"/>
      <c r="D6" s="91"/>
      <c r="E6" s="45"/>
      <c r="F6" s="91"/>
      <c r="G6" s="42"/>
      <c r="H6" s="91"/>
      <c r="I6" s="27"/>
      <c r="J6" s="91"/>
      <c r="K6" s="27"/>
      <c r="L6" s="91"/>
      <c r="M6" s="27"/>
      <c r="N6" s="33"/>
      <c r="O6" s="155"/>
      <c r="P6" s="192"/>
    </row>
    <row r="7" spans="1:27" x14ac:dyDescent="0.25">
      <c r="G7" s="128" t="s">
        <v>118</v>
      </c>
      <c r="N7" s="33"/>
      <c r="O7" s="155"/>
      <c r="P7" s="193"/>
      <c r="S7" s="40"/>
      <c r="T7" s="82"/>
      <c r="V7" s="32"/>
      <c r="W7" s="32"/>
    </row>
    <row r="8" spans="1:27" x14ac:dyDescent="0.25">
      <c r="A8" s="128" t="s">
        <v>4</v>
      </c>
      <c r="B8" s="52"/>
      <c r="C8" s="128" t="s">
        <v>5</v>
      </c>
      <c r="D8" s="52"/>
      <c r="F8" s="52"/>
      <c r="G8" s="99" t="s">
        <v>3</v>
      </c>
      <c r="H8" s="52"/>
      <c r="I8" s="16" t="s">
        <v>6</v>
      </c>
      <c r="J8" s="16"/>
      <c r="K8" s="16"/>
      <c r="L8" s="52"/>
      <c r="M8" s="128" t="s">
        <v>7</v>
      </c>
      <c r="N8" s="33"/>
      <c r="O8" s="155"/>
      <c r="P8" s="47"/>
      <c r="S8" s="40"/>
      <c r="T8" s="82"/>
      <c r="U8" s="32"/>
      <c r="V8" s="32"/>
      <c r="W8" s="32"/>
      <c r="X8" s="32"/>
    </row>
    <row r="9" spans="1:27" x14ac:dyDescent="0.25">
      <c r="A9" s="128" t="s">
        <v>0</v>
      </c>
      <c r="B9" s="52"/>
      <c r="C9" s="133" t="s">
        <v>10</v>
      </c>
      <c r="D9" s="52"/>
      <c r="E9" s="133" t="s">
        <v>5</v>
      </c>
      <c r="F9" s="52"/>
      <c r="G9" s="128" t="s">
        <v>143</v>
      </c>
      <c r="H9" s="52"/>
      <c r="I9" s="128" t="s">
        <v>72</v>
      </c>
      <c r="J9" s="52"/>
      <c r="K9" s="128" t="s">
        <v>73</v>
      </c>
      <c r="L9" s="52"/>
      <c r="M9" s="128" t="s">
        <v>8</v>
      </c>
      <c r="N9" s="33"/>
      <c r="O9" s="43"/>
      <c r="P9" s="47"/>
      <c r="S9" s="40"/>
      <c r="T9" s="82"/>
      <c r="V9" s="32"/>
      <c r="W9" s="32"/>
    </row>
    <row r="10" spans="1:27" x14ac:dyDescent="0.25">
      <c r="A10" s="20"/>
      <c r="B10" s="52"/>
      <c r="C10" s="91" t="s">
        <v>71</v>
      </c>
      <c r="D10" s="91"/>
      <c r="E10" s="91"/>
      <c r="F10" s="52"/>
      <c r="G10" s="22" t="s">
        <v>9</v>
      </c>
      <c r="H10" s="52"/>
      <c r="I10" s="21" t="s">
        <v>55</v>
      </c>
      <c r="J10" s="91"/>
      <c r="K10" s="21"/>
      <c r="L10" s="91"/>
      <c r="M10" s="21"/>
      <c r="N10" s="33"/>
      <c r="O10" s="44"/>
      <c r="P10" s="44"/>
      <c r="S10" s="40"/>
      <c r="T10" s="82"/>
      <c r="U10" s="32"/>
      <c r="V10" s="32"/>
      <c r="W10" s="32"/>
      <c r="X10" s="32"/>
    </row>
    <row r="11" spans="1:27" x14ac:dyDescent="0.25">
      <c r="A11" s="78"/>
      <c r="B11" s="52"/>
      <c r="C11" s="59"/>
      <c r="D11" s="52"/>
      <c r="E11" s="59"/>
      <c r="F11" s="52"/>
      <c r="G11" s="76"/>
      <c r="H11" s="52"/>
      <c r="I11" s="24"/>
      <c r="J11" s="52"/>
      <c r="K11" s="24"/>
      <c r="L11" s="52"/>
      <c r="M11" s="98"/>
      <c r="N11" s="33"/>
      <c r="O11" s="182" t="s">
        <v>182</v>
      </c>
      <c r="P11" s="47">
        <f>MAX(M12:M52)</f>
        <v>185500</v>
      </c>
      <c r="Q11" s="44"/>
      <c r="R11" s="44"/>
      <c r="S11" s="40"/>
      <c r="T11" s="82"/>
      <c r="V11" s="32"/>
      <c r="W11" s="32"/>
    </row>
    <row r="12" spans="1:27" x14ac:dyDescent="0.25">
      <c r="A12" s="78">
        <v>46388</v>
      </c>
      <c r="B12" s="52"/>
      <c r="C12" s="173">
        <v>2290</v>
      </c>
      <c r="D12" s="52"/>
      <c r="E12" s="173"/>
      <c r="F12" s="104"/>
      <c r="G12" s="129"/>
      <c r="H12" s="52"/>
      <c r="I12" s="120">
        <f>I13</f>
        <v>57250</v>
      </c>
      <c r="J12" s="52"/>
      <c r="K12" s="120">
        <f>E12*1000+I12</f>
        <v>57250</v>
      </c>
      <c r="L12" s="52"/>
      <c r="M12" s="121">
        <f>K12</f>
        <v>57250</v>
      </c>
      <c r="N12" s="248"/>
      <c r="O12" s="183"/>
      <c r="P12" s="43"/>
      <c r="Q12" s="184"/>
      <c r="R12" s="44"/>
      <c r="S12" s="40"/>
      <c r="T12" s="82"/>
      <c r="U12" s="32"/>
      <c r="V12" s="32"/>
      <c r="W12" s="32"/>
      <c r="X12" s="32"/>
    </row>
    <row r="13" spans="1:27" x14ac:dyDescent="0.25">
      <c r="A13" s="78">
        <v>46569</v>
      </c>
      <c r="B13" s="52"/>
      <c r="C13" s="139">
        <f t="shared" ref="C13:C52" si="0">C12-E12</f>
        <v>2290</v>
      </c>
      <c r="D13" s="52"/>
      <c r="E13" s="173">
        <f t="shared" ref="E13:E50" si="1">N13/1000</f>
        <v>35</v>
      </c>
      <c r="F13" s="52"/>
      <c r="G13" s="129">
        <v>5</v>
      </c>
      <c r="H13" s="52"/>
      <c r="I13" s="76">
        <f>ROUND((+E13*G13*10)/2+I14,2)</f>
        <v>57250</v>
      </c>
      <c r="J13" s="52"/>
      <c r="K13" s="76">
        <f>E13*1000+I13</f>
        <v>92250</v>
      </c>
      <c r="L13" s="52"/>
      <c r="M13" s="154"/>
      <c r="N13" s="248">
        <v>35000</v>
      </c>
      <c r="O13" s="183"/>
      <c r="P13" s="43"/>
      <c r="Q13" s="155"/>
      <c r="R13" s="44"/>
      <c r="S13" s="40"/>
      <c r="T13" s="82"/>
      <c r="V13" s="32"/>
      <c r="W13" s="32"/>
    </row>
    <row r="14" spans="1:27" x14ac:dyDescent="0.25">
      <c r="A14" s="78">
        <v>46753</v>
      </c>
      <c r="B14" s="52"/>
      <c r="C14" s="139">
        <f t="shared" si="0"/>
        <v>2255</v>
      </c>
      <c r="D14" s="52"/>
      <c r="E14" s="139">
        <f t="shared" si="1"/>
        <v>35</v>
      </c>
      <c r="F14" s="52"/>
      <c r="G14" s="129">
        <v>5</v>
      </c>
      <c r="H14" s="52"/>
      <c r="I14" s="76">
        <f t="shared" ref="I14:I52" si="2">ROUND((+E14*G14*10)/2+I15,2)</f>
        <v>56375</v>
      </c>
      <c r="J14" s="52"/>
      <c r="K14" s="76">
        <f t="shared" ref="K14:K52" si="3">E14*1000+I14</f>
        <v>91375</v>
      </c>
      <c r="L14" s="52"/>
      <c r="M14" s="76">
        <f>K14+K13</f>
        <v>183625</v>
      </c>
      <c r="N14" s="248">
        <v>35000</v>
      </c>
      <c r="O14" s="183"/>
      <c r="P14" s="43"/>
      <c r="Q14" s="44"/>
      <c r="R14" s="44"/>
      <c r="S14" s="40"/>
      <c r="T14" s="82"/>
      <c r="U14" s="32"/>
      <c r="V14" s="32"/>
      <c r="W14" s="32"/>
      <c r="X14" s="32"/>
    </row>
    <row r="15" spans="1:27" x14ac:dyDescent="0.25">
      <c r="A15" s="78">
        <v>46935</v>
      </c>
      <c r="B15" s="52"/>
      <c r="C15" s="139">
        <f>C14-E14</f>
        <v>2220</v>
      </c>
      <c r="D15" s="52"/>
      <c r="E15" s="139">
        <f t="shared" si="1"/>
        <v>35</v>
      </c>
      <c r="F15" s="52"/>
      <c r="G15" s="129">
        <v>5</v>
      </c>
      <c r="H15" s="52"/>
      <c r="I15" s="76">
        <f t="shared" si="2"/>
        <v>55500</v>
      </c>
      <c r="J15" s="52"/>
      <c r="K15" s="76">
        <f t="shared" si="3"/>
        <v>90500</v>
      </c>
      <c r="L15" s="52"/>
      <c r="M15" s="126"/>
      <c r="N15" s="248">
        <v>35000</v>
      </c>
      <c r="O15" s="183"/>
      <c r="P15" s="43"/>
      <c r="Q15" s="44"/>
      <c r="R15" s="44"/>
      <c r="S15" s="40"/>
      <c r="T15" s="82"/>
      <c r="V15" s="32"/>
      <c r="W15" s="32"/>
    </row>
    <row r="16" spans="1:27" x14ac:dyDescent="0.25">
      <c r="A16" s="78">
        <v>47119</v>
      </c>
      <c r="B16" s="52"/>
      <c r="C16" s="139">
        <f t="shared" si="0"/>
        <v>2185</v>
      </c>
      <c r="D16" s="52"/>
      <c r="E16" s="139">
        <f t="shared" si="1"/>
        <v>35</v>
      </c>
      <c r="F16" s="52"/>
      <c r="G16" s="129">
        <v>5</v>
      </c>
      <c r="H16" s="52"/>
      <c r="I16" s="76">
        <f t="shared" si="2"/>
        <v>54625</v>
      </c>
      <c r="J16" s="52"/>
      <c r="K16" s="126">
        <f t="shared" si="3"/>
        <v>89625</v>
      </c>
      <c r="L16" s="52"/>
      <c r="M16" s="76">
        <f>K16+K15</f>
        <v>180125</v>
      </c>
      <c r="N16" s="248">
        <v>35000</v>
      </c>
      <c r="O16" s="183"/>
      <c r="P16" s="43"/>
      <c r="Q16" s="44"/>
      <c r="R16" s="44"/>
      <c r="S16" s="40"/>
      <c r="T16" s="82"/>
      <c r="U16" s="32"/>
      <c r="V16" s="32"/>
      <c r="W16" s="32"/>
      <c r="X16" s="32"/>
    </row>
    <row r="17" spans="1:24" x14ac:dyDescent="0.25">
      <c r="A17" s="78">
        <v>47300</v>
      </c>
      <c r="B17" s="52"/>
      <c r="C17" s="139">
        <f t="shared" si="0"/>
        <v>2150</v>
      </c>
      <c r="D17" s="52"/>
      <c r="E17" s="139">
        <f t="shared" si="1"/>
        <v>35</v>
      </c>
      <c r="F17" s="52"/>
      <c r="G17" s="129">
        <v>5</v>
      </c>
      <c r="H17" s="52"/>
      <c r="I17" s="76">
        <f t="shared" si="2"/>
        <v>53750</v>
      </c>
      <c r="J17" s="52"/>
      <c r="K17" s="76">
        <f t="shared" si="3"/>
        <v>88750</v>
      </c>
      <c r="L17" s="52"/>
      <c r="M17" s="126"/>
      <c r="N17" s="248">
        <v>35000</v>
      </c>
      <c r="O17" s="183"/>
      <c r="P17" s="43"/>
      <c r="Q17" s="44"/>
      <c r="R17" s="44"/>
      <c r="S17" s="40"/>
      <c r="T17" s="82"/>
      <c r="V17" s="32"/>
      <c r="W17" s="32"/>
    </row>
    <row r="18" spans="1:24" x14ac:dyDescent="0.25">
      <c r="A18" s="78">
        <v>47484</v>
      </c>
      <c r="B18" s="52"/>
      <c r="C18" s="139">
        <f t="shared" si="0"/>
        <v>2115</v>
      </c>
      <c r="D18" s="52"/>
      <c r="E18" s="139">
        <f t="shared" si="1"/>
        <v>40</v>
      </c>
      <c r="F18" s="52"/>
      <c r="G18" s="129">
        <v>5</v>
      </c>
      <c r="H18" s="52"/>
      <c r="I18" s="76">
        <f t="shared" si="2"/>
        <v>52875</v>
      </c>
      <c r="J18" s="52"/>
      <c r="K18" s="76">
        <f t="shared" si="3"/>
        <v>92875</v>
      </c>
      <c r="L18" s="52"/>
      <c r="M18" s="76">
        <f>K18+K17</f>
        <v>181625</v>
      </c>
      <c r="N18" s="248">
        <v>40000</v>
      </c>
      <c r="O18" s="183"/>
      <c r="P18" s="43"/>
      <c r="Q18" s="44"/>
      <c r="R18" s="44"/>
      <c r="S18" s="40"/>
      <c r="T18" s="82"/>
      <c r="U18" s="32"/>
      <c r="V18" s="32"/>
      <c r="W18" s="32"/>
      <c r="X18" s="32"/>
    </row>
    <row r="19" spans="1:24" x14ac:dyDescent="0.25">
      <c r="A19" s="78">
        <v>47665</v>
      </c>
      <c r="B19" s="52"/>
      <c r="C19" s="139">
        <f t="shared" si="0"/>
        <v>2075</v>
      </c>
      <c r="D19" s="52"/>
      <c r="E19" s="139">
        <f t="shared" si="1"/>
        <v>40</v>
      </c>
      <c r="F19" s="52"/>
      <c r="G19" s="129">
        <v>5</v>
      </c>
      <c r="H19" s="52"/>
      <c r="I19" s="76">
        <f>ROUND((+E19*G19*10)/2+I20,2)</f>
        <v>51875</v>
      </c>
      <c r="J19" s="52"/>
      <c r="K19" s="76">
        <f t="shared" si="3"/>
        <v>91875</v>
      </c>
      <c r="L19" s="52"/>
      <c r="M19" s="126"/>
      <c r="N19" s="248">
        <v>40000</v>
      </c>
      <c r="O19" s="183"/>
      <c r="P19" s="43"/>
      <c r="Q19" s="44"/>
      <c r="R19" s="44"/>
      <c r="S19" s="40"/>
      <c r="T19" s="82"/>
      <c r="V19" s="32"/>
      <c r="W19" s="32"/>
    </row>
    <row r="20" spans="1:24" x14ac:dyDescent="0.25">
      <c r="A20" s="78">
        <v>47849</v>
      </c>
      <c r="B20" s="52"/>
      <c r="C20" s="139">
        <f t="shared" si="0"/>
        <v>2035</v>
      </c>
      <c r="D20" s="52"/>
      <c r="E20" s="139">
        <f t="shared" si="1"/>
        <v>40</v>
      </c>
      <c r="F20" s="52"/>
      <c r="G20" s="129">
        <v>5</v>
      </c>
      <c r="H20" s="52"/>
      <c r="I20" s="76">
        <f t="shared" si="2"/>
        <v>50875</v>
      </c>
      <c r="J20" s="52"/>
      <c r="K20" s="76">
        <f t="shared" si="3"/>
        <v>90875</v>
      </c>
      <c r="L20" s="52"/>
      <c r="M20" s="76">
        <f>K20+K19</f>
        <v>182750</v>
      </c>
      <c r="N20" s="248">
        <v>40000</v>
      </c>
      <c r="O20" s="183"/>
      <c r="P20" s="43"/>
      <c r="Q20" s="44"/>
      <c r="R20" s="44"/>
      <c r="S20" s="40"/>
      <c r="T20" s="82"/>
      <c r="U20" s="32"/>
      <c r="V20" s="32"/>
      <c r="W20" s="32"/>
      <c r="X20" s="32"/>
    </row>
    <row r="21" spans="1:24" x14ac:dyDescent="0.25">
      <c r="A21" s="78">
        <v>48030</v>
      </c>
      <c r="B21" s="52"/>
      <c r="C21" s="139">
        <f t="shared" si="0"/>
        <v>1995</v>
      </c>
      <c r="D21" s="52"/>
      <c r="E21" s="139">
        <f t="shared" si="1"/>
        <v>40</v>
      </c>
      <c r="F21" s="52"/>
      <c r="G21" s="129">
        <v>5</v>
      </c>
      <c r="H21" s="52"/>
      <c r="I21" s="76">
        <f t="shared" si="2"/>
        <v>49875</v>
      </c>
      <c r="J21" s="52"/>
      <c r="K21" s="76">
        <f t="shared" si="3"/>
        <v>89875</v>
      </c>
      <c r="L21" s="52"/>
      <c r="M21" s="126"/>
      <c r="N21" s="248">
        <v>40000</v>
      </c>
      <c r="O21" s="183"/>
      <c r="P21" s="43"/>
      <c r="Q21" s="44"/>
      <c r="R21" s="44"/>
      <c r="S21" s="40"/>
      <c r="T21" s="82"/>
      <c r="V21" s="32"/>
      <c r="W21" s="32"/>
    </row>
    <row r="22" spans="1:24" x14ac:dyDescent="0.25">
      <c r="A22" s="78">
        <v>48214</v>
      </c>
      <c r="B22" s="52"/>
      <c r="C22" s="139">
        <f t="shared" si="0"/>
        <v>1955</v>
      </c>
      <c r="D22" s="52"/>
      <c r="E22" s="139">
        <f t="shared" si="1"/>
        <v>40</v>
      </c>
      <c r="F22" s="52"/>
      <c r="G22" s="129">
        <v>5</v>
      </c>
      <c r="H22" s="52"/>
      <c r="I22" s="76">
        <f t="shared" si="2"/>
        <v>48875</v>
      </c>
      <c r="J22" s="52"/>
      <c r="K22" s="76">
        <f t="shared" si="3"/>
        <v>88875</v>
      </c>
      <c r="L22" s="52"/>
      <c r="M22" s="76">
        <f>K22+K21</f>
        <v>178750</v>
      </c>
      <c r="N22" s="248">
        <v>40000</v>
      </c>
      <c r="O22" s="183"/>
      <c r="P22" s="43"/>
      <c r="Q22" s="44"/>
      <c r="R22" s="44"/>
      <c r="S22" s="40"/>
      <c r="T22" s="82"/>
      <c r="U22" s="32"/>
      <c r="V22" s="32"/>
      <c r="W22" s="32"/>
      <c r="X22" s="32"/>
    </row>
    <row r="23" spans="1:24" x14ac:dyDescent="0.25">
      <c r="A23" s="78">
        <v>48396</v>
      </c>
      <c r="B23" s="52"/>
      <c r="C23" s="139">
        <f t="shared" si="0"/>
        <v>1915</v>
      </c>
      <c r="D23" s="52"/>
      <c r="E23" s="139">
        <f t="shared" si="1"/>
        <v>45</v>
      </c>
      <c r="F23" s="52"/>
      <c r="G23" s="129">
        <v>5</v>
      </c>
      <c r="H23" s="52"/>
      <c r="I23" s="76">
        <f t="shared" si="2"/>
        <v>47875</v>
      </c>
      <c r="J23" s="52"/>
      <c r="K23" s="76">
        <f t="shared" si="3"/>
        <v>92875</v>
      </c>
      <c r="L23" s="52"/>
      <c r="M23" s="126"/>
      <c r="N23" s="248">
        <v>45000</v>
      </c>
      <c r="O23" s="183"/>
      <c r="P23" s="43"/>
      <c r="Q23" s="44"/>
      <c r="R23" s="44"/>
      <c r="S23" s="40"/>
      <c r="T23" s="82"/>
      <c r="V23" s="32"/>
      <c r="W23" s="32"/>
    </row>
    <row r="24" spans="1:24" x14ac:dyDescent="0.25">
      <c r="A24" s="78">
        <v>48580</v>
      </c>
      <c r="B24" s="52"/>
      <c r="C24" s="139">
        <f t="shared" si="0"/>
        <v>1870</v>
      </c>
      <c r="D24" s="52"/>
      <c r="E24" s="139">
        <f t="shared" si="1"/>
        <v>45</v>
      </c>
      <c r="F24" s="52"/>
      <c r="G24" s="129">
        <v>5</v>
      </c>
      <c r="H24" s="52"/>
      <c r="I24" s="76">
        <f t="shared" si="2"/>
        <v>46750</v>
      </c>
      <c r="J24" s="52"/>
      <c r="K24" s="76">
        <f t="shared" si="3"/>
        <v>91750</v>
      </c>
      <c r="L24" s="52"/>
      <c r="M24" s="76">
        <f>K24+K23</f>
        <v>184625</v>
      </c>
      <c r="N24" s="248">
        <v>45000</v>
      </c>
      <c r="O24" s="183"/>
      <c r="P24" s="43"/>
      <c r="Q24" s="44"/>
      <c r="R24" s="44"/>
      <c r="S24" s="40"/>
      <c r="T24" s="82"/>
      <c r="U24" s="32"/>
      <c r="V24" s="32"/>
      <c r="W24" s="32"/>
      <c r="X24" s="32"/>
    </row>
    <row r="25" spans="1:24" x14ac:dyDescent="0.25">
      <c r="A25" s="78">
        <v>48761</v>
      </c>
      <c r="B25" s="52"/>
      <c r="C25" s="139">
        <f t="shared" si="0"/>
        <v>1825</v>
      </c>
      <c r="D25" s="52"/>
      <c r="E25" s="139">
        <f t="shared" si="1"/>
        <v>45</v>
      </c>
      <c r="F25" s="52"/>
      <c r="G25" s="129">
        <v>5</v>
      </c>
      <c r="H25" s="52"/>
      <c r="I25" s="76">
        <f t="shared" si="2"/>
        <v>45625</v>
      </c>
      <c r="J25" s="52"/>
      <c r="K25" s="76">
        <f t="shared" si="3"/>
        <v>90625</v>
      </c>
      <c r="L25" s="52"/>
      <c r="M25" s="126"/>
      <c r="N25" s="248">
        <v>45000</v>
      </c>
      <c r="O25" s="183"/>
      <c r="P25" s="43"/>
      <c r="Q25" s="44"/>
      <c r="R25" s="44"/>
      <c r="S25" s="40"/>
      <c r="T25" s="82"/>
      <c r="V25" s="32"/>
      <c r="W25" s="32"/>
    </row>
    <row r="26" spans="1:24" x14ac:dyDescent="0.25">
      <c r="A26" s="78">
        <v>48945</v>
      </c>
      <c r="B26" s="52"/>
      <c r="C26" s="139">
        <f t="shared" si="0"/>
        <v>1780</v>
      </c>
      <c r="D26" s="52"/>
      <c r="E26" s="139">
        <f t="shared" si="1"/>
        <v>45</v>
      </c>
      <c r="F26" s="52"/>
      <c r="G26" s="129">
        <v>5</v>
      </c>
      <c r="H26" s="52"/>
      <c r="I26" s="76">
        <f t="shared" si="2"/>
        <v>44500</v>
      </c>
      <c r="J26" s="52"/>
      <c r="K26" s="76">
        <f t="shared" si="3"/>
        <v>89500</v>
      </c>
      <c r="L26" s="52"/>
      <c r="M26" s="76">
        <f>K26+K25</f>
        <v>180125</v>
      </c>
      <c r="N26" s="248">
        <v>45000</v>
      </c>
      <c r="O26" s="183"/>
      <c r="P26" s="43"/>
      <c r="Q26" s="44"/>
      <c r="R26" s="44"/>
      <c r="S26" s="40"/>
      <c r="T26" s="82"/>
      <c r="U26" s="32"/>
      <c r="V26" s="32"/>
      <c r="W26" s="32"/>
      <c r="X26" s="32"/>
    </row>
    <row r="27" spans="1:24" x14ac:dyDescent="0.25">
      <c r="A27" s="78">
        <v>49126</v>
      </c>
      <c r="B27" s="52"/>
      <c r="C27" s="139">
        <f t="shared" si="0"/>
        <v>1735</v>
      </c>
      <c r="D27" s="52"/>
      <c r="E27" s="139">
        <f t="shared" si="1"/>
        <v>50</v>
      </c>
      <c r="F27" s="52"/>
      <c r="G27" s="129">
        <v>5</v>
      </c>
      <c r="H27" s="52"/>
      <c r="I27" s="76">
        <f t="shared" si="2"/>
        <v>43375</v>
      </c>
      <c r="J27" s="52"/>
      <c r="K27" s="76">
        <f t="shared" si="3"/>
        <v>93375</v>
      </c>
      <c r="L27" s="52"/>
      <c r="M27" s="126"/>
      <c r="N27" s="248">
        <v>50000</v>
      </c>
      <c r="O27" s="183"/>
      <c r="P27" s="43"/>
      <c r="Q27" s="44"/>
      <c r="R27" s="44"/>
      <c r="S27" s="40"/>
      <c r="T27" s="82"/>
      <c r="V27" s="32"/>
      <c r="W27" s="32"/>
    </row>
    <row r="28" spans="1:24" x14ac:dyDescent="0.25">
      <c r="A28" s="78">
        <v>49310</v>
      </c>
      <c r="B28" s="52"/>
      <c r="C28" s="139">
        <f t="shared" si="0"/>
        <v>1685</v>
      </c>
      <c r="D28" s="52"/>
      <c r="E28" s="139">
        <f t="shared" si="1"/>
        <v>50</v>
      </c>
      <c r="F28" s="52"/>
      <c r="G28" s="129">
        <v>5</v>
      </c>
      <c r="H28" s="52"/>
      <c r="I28" s="76">
        <f t="shared" si="2"/>
        <v>42125</v>
      </c>
      <c r="J28" s="52"/>
      <c r="K28" s="76">
        <f t="shared" si="3"/>
        <v>92125</v>
      </c>
      <c r="L28" s="52"/>
      <c r="M28" s="76">
        <f>K28+K27</f>
        <v>185500</v>
      </c>
      <c r="N28" s="248">
        <v>50000</v>
      </c>
      <c r="O28" s="183"/>
      <c r="P28" s="43"/>
      <c r="Q28" s="44"/>
      <c r="R28" s="44"/>
      <c r="S28" s="40"/>
      <c r="T28" s="82"/>
      <c r="U28" s="32"/>
      <c r="V28" s="32"/>
      <c r="W28" s="32"/>
      <c r="X28" s="32"/>
    </row>
    <row r="29" spans="1:24" x14ac:dyDescent="0.25">
      <c r="A29" s="78">
        <v>49491</v>
      </c>
      <c r="B29" s="52"/>
      <c r="C29" s="139">
        <f t="shared" si="0"/>
        <v>1635</v>
      </c>
      <c r="D29" s="52"/>
      <c r="E29" s="139">
        <f t="shared" si="1"/>
        <v>50</v>
      </c>
      <c r="F29" s="52"/>
      <c r="G29" s="129">
        <v>5</v>
      </c>
      <c r="H29" s="52"/>
      <c r="I29" s="76">
        <f t="shared" si="2"/>
        <v>40875</v>
      </c>
      <c r="J29" s="52"/>
      <c r="K29" s="76">
        <f t="shared" si="3"/>
        <v>90875</v>
      </c>
      <c r="L29" s="52"/>
      <c r="M29" s="126"/>
      <c r="N29" s="248">
        <v>50000</v>
      </c>
      <c r="O29" s="183"/>
      <c r="P29" s="43"/>
      <c r="Q29" s="44"/>
      <c r="R29" s="44"/>
      <c r="S29" s="40"/>
      <c r="T29" s="82"/>
      <c r="V29" s="32"/>
    </row>
    <row r="30" spans="1:24" x14ac:dyDescent="0.25">
      <c r="A30" s="78">
        <v>49675</v>
      </c>
      <c r="B30" s="52"/>
      <c r="C30" s="139">
        <f t="shared" si="0"/>
        <v>1585</v>
      </c>
      <c r="D30" s="52"/>
      <c r="E30" s="139">
        <f t="shared" si="1"/>
        <v>50</v>
      </c>
      <c r="F30" s="52"/>
      <c r="G30" s="129">
        <v>5</v>
      </c>
      <c r="H30" s="52"/>
      <c r="I30" s="76">
        <f t="shared" si="2"/>
        <v>39625</v>
      </c>
      <c r="J30" s="52"/>
      <c r="K30" s="76">
        <f t="shared" si="3"/>
        <v>89625</v>
      </c>
      <c r="L30" s="52"/>
      <c r="M30" s="76">
        <f>K30+K29</f>
        <v>180500</v>
      </c>
      <c r="N30" s="248">
        <v>50000</v>
      </c>
      <c r="O30" s="183"/>
      <c r="P30" s="43"/>
      <c r="Q30" s="44"/>
      <c r="R30" s="44"/>
      <c r="S30" s="40"/>
      <c r="T30" s="82"/>
      <c r="U30" s="32"/>
      <c r="V30" s="32"/>
    </row>
    <row r="31" spans="1:24" x14ac:dyDescent="0.25">
      <c r="A31" s="78">
        <v>49857</v>
      </c>
      <c r="B31" s="52"/>
      <c r="C31" s="139">
        <f>C30-E30</f>
        <v>1535</v>
      </c>
      <c r="D31" s="52"/>
      <c r="E31" s="139">
        <f t="shared" si="1"/>
        <v>55</v>
      </c>
      <c r="F31" s="52"/>
      <c r="G31" s="129">
        <v>5</v>
      </c>
      <c r="H31" s="52"/>
      <c r="I31" s="76">
        <f t="shared" si="2"/>
        <v>38375</v>
      </c>
      <c r="J31" s="52"/>
      <c r="K31" s="76">
        <f t="shared" si="3"/>
        <v>93375</v>
      </c>
      <c r="L31" s="52"/>
      <c r="M31" s="126"/>
      <c r="N31" s="248">
        <v>55000</v>
      </c>
      <c r="O31" s="183"/>
      <c r="P31" s="43"/>
      <c r="Q31" s="44"/>
      <c r="R31" s="44"/>
      <c r="S31" s="40"/>
      <c r="T31" s="82"/>
      <c r="V31" s="32"/>
    </row>
    <row r="32" spans="1:24" x14ac:dyDescent="0.25">
      <c r="A32" s="78">
        <v>50041</v>
      </c>
      <c r="B32" s="52"/>
      <c r="C32" s="139">
        <f t="shared" si="0"/>
        <v>1480</v>
      </c>
      <c r="D32" s="52"/>
      <c r="E32" s="139">
        <f t="shared" si="1"/>
        <v>55</v>
      </c>
      <c r="F32" s="52"/>
      <c r="G32" s="129">
        <v>5</v>
      </c>
      <c r="H32" s="52"/>
      <c r="I32" s="76">
        <f t="shared" si="2"/>
        <v>37000</v>
      </c>
      <c r="J32" s="52"/>
      <c r="K32" s="76">
        <f t="shared" si="3"/>
        <v>92000</v>
      </c>
      <c r="L32" s="52"/>
      <c r="M32" s="76">
        <f>K32+K31</f>
        <v>185375</v>
      </c>
      <c r="N32" s="248">
        <v>55000</v>
      </c>
      <c r="O32" s="183"/>
      <c r="P32" s="43"/>
      <c r="Q32" s="44"/>
      <c r="R32" s="44"/>
      <c r="S32" s="40"/>
      <c r="T32" s="82"/>
      <c r="U32" s="32"/>
      <c r="V32" s="32"/>
    </row>
    <row r="33" spans="1:22" x14ac:dyDescent="0.25">
      <c r="A33" s="78">
        <v>50222</v>
      </c>
      <c r="B33" s="52"/>
      <c r="C33" s="139">
        <f t="shared" si="0"/>
        <v>1425</v>
      </c>
      <c r="D33" s="139"/>
      <c r="E33" s="139">
        <f t="shared" si="1"/>
        <v>55</v>
      </c>
      <c r="F33" s="52"/>
      <c r="G33" s="129">
        <v>5</v>
      </c>
      <c r="H33" s="52"/>
      <c r="I33" s="76">
        <f t="shared" si="2"/>
        <v>35625</v>
      </c>
      <c r="J33" s="120"/>
      <c r="K33" s="76">
        <f t="shared" si="3"/>
        <v>90625</v>
      </c>
      <c r="L33" s="120"/>
      <c r="M33" s="126"/>
      <c r="N33" s="248">
        <v>55000</v>
      </c>
      <c r="O33" s="183"/>
      <c r="P33" s="43"/>
      <c r="Q33" s="44"/>
      <c r="R33" s="44"/>
      <c r="S33" s="40"/>
      <c r="T33" s="82"/>
      <c r="V33" s="32"/>
    </row>
    <row r="34" spans="1:22" x14ac:dyDescent="0.25">
      <c r="A34" s="78">
        <v>50406</v>
      </c>
      <c r="B34" s="52"/>
      <c r="C34" s="139">
        <f t="shared" si="0"/>
        <v>1370</v>
      </c>
      <c r="D34" s="52"/>
      <c r="E34" s="139">
        <f t="shared" si="1"/>
        <v>55</v>
      </c>
      <c r="F34" s="52"/>
      <c r="G34" s="129">
        <v>5</v>
      </c>
      <c r="H34" s="52"/>
      <c r="I34" s="76">
        <f t="shared" si="2"/>
        <v>34250</v>
      </c>
      <c r="J34" s="52"/>
      <c r="K34" s="76">
        <f t="shared" si="3"/>
        <v>89250</v>
      </c>
      <c r="L34" s="52"/>
      <c r="M34" s="76">
        <f>K34+K33</f>
        <v>179875</v>
      </c>
      <c r="N34" s="248">
        <v>55000</v>
      </c>
      <c r="O34" s="183"/>
      <c r="P34" s="43"/>
      <c r="Q34" s="44"/>
      <c r="R34" s="44"/>
      <c r="S34" s="40"/>
      <c r="T34" s="82"/>
      <c r="U34" s="32"/>
      <c r="V34" s="32"/>
    </row>
    <row r="35" spans="1:22" x14ac:dyDescent="0.25">
      <c r="A35" s="78">
        <v>50587</v>
      </c>
      <c r="B35" s="52"/>
      <c r="C35" s="139">
        <f t="shared" si="0"/>
        <v>1315</v>
      </c>
      <c r="D35" s="52"/>
      <c r="E35" s="139">
        <f t="shared" si="1"/>
        <v>60</v>
      </c>
      <c r="F35" s="52"/>
      <c r="G35" s="129">
        <v>5</v>
      </c>
      <c r="H35" s="52"/>
      <c r="I35" s="76">
        <f t="shared" si="2"/>
        <v>32875</v>
      </c>
      <c r="J35" s="52"/>
      <c r="K35" s="76">
        <f t="shared" si="3"/>
        <v>92875</v>
      </c>
      <c r="L35" s="52"/>
      <c r="M35" s="126"/>
      <c r="N35" s="248">
        <v>60000</v>
      </c>
      <c r="O35" s="183"/>
      <c r="P35" s="43"/>
      <c r="Q35" s="44"/>
      <c r="R35" s="44"/>
      <c r="S35" s="40"/>
      <c r="T35" s="82"/>
      <c r="V35" s="32"/>
    </row>
    <row r="36" spans="1:22" x14ac:dyDescent="0.25">
      <c r="A36" s="78">
        <v>50771</v>
      </c>
      <c r="B36" s="52"/>
      <c r="C36" s="139">
        <f t="shared" si="0"/>
        <v>1255</v>
      </c>
      <c r="D36" s="52"/>
      <c r="E36" s="139">
        <f t="shared" si="1"/>
        <v>60</v>
      </c>
      <c r="F36" s="52"/>
      <c r="G36" s="129">
        <v>5</v>
      </c>
      <c r="H36" s="52"/>
      <c r="I36" s="76">
        <f t="shared" si="2"/>
        <v>31375</v>
      </c>
      <c r="J36" s="52"/>
      <c r="K36" s="76">
        <f t="shared" si="3"/>
        <v>91375</v>
      </c>
      <c r="L36" s="52"/>
      <c r="M36" s="76">
        <f>K36+K35</f>
        <v>184250</v>
      </c>
      <c r="N36" s="248">
        <v>60000</v>
      </c>
      <c r="O36" s="183"/>
      <c r="P36" s="43"/>
      <c r="Q36" s="44"/>
      <c r="R36" s="44"/>
      <c r="S36" s="40"/>
      <c r="T36" s="82"/>
      <c r="U36" s="32"/>
      <c r="V36" s="32"/>
    </row>
    <row r="37" spans="1:22" x14ac:dyDescent="0.25">
      <c r="A37" s="78">
        <v>50952</v>
      </c>
      <c r="B37" s="52"/>
      <c r="C37" s="139">
        <f t="shared" si="0"/>
        <v>1195</v>
      </c>
      <c r="D37" s="52"/>
      <c r="E37" s="139">
        <f t="shared" si="1"/>
        <v>60</v>
      </c>
      <c r="F37" s="52"/>
      <c r="G37" s="129">
        <v>5</v>
      </c>
      <c r="H37" s="52"/>
      <c r="I37" s="76">
        <f t="shared" si="2"/>
        <v>29875</v>
      </c>
      <c r="J37" s="52"/>
      <c r="K37" s="76">
        <f t="shared" si="3"/>
        <v>89875</v>
      </c>
      <c r="L37" s="52"/>
      <c r="M37" s="126"/>
      <c r="N37" s="248">
        <v>60000</v>
      </c>
      <c r="O37" s="183"/>
      <c r="P37" s="43"/>
      <c r="Q37" s="44"/>
      <c r="R37" s="44"/>
      <c r="S37" s="40"/>
      <c r="T37" s="82"/>
      <c r="V37" s="32"/>
    </row>
    <row r="38" spans="1:22" x14ac:dyDescent="0.25">
      <c r="A38" s="78">
        <v>51136</v>
      </c>
      <c r="B38" s="52"/>
      <c r="C38" s="139">
        <f t="shared" si="0"/>
        <v>1135</v>
      </c>
      <c r="D38" s="52"/>
      <c r="E38" s="139">
        <f t="shared" si="1"/>
        <v>65</v>
      </c>
      <c r="F38" s="52"/>
      <c r="G38" s="129">
        <v>5</v>
      </c>
      <c r="H38" s="52"/>
      <c r="I38" s="76">
        <f t="shared" si="2"/>
        <v>28375</v>
      </c>
      <c r="J38" s="52"/>
      <c r="K38" s="76">
        <f t="shared" si="3"/>
        <v>93375</v>
      </c>
      <c r="L38" s="52"/>
      <c r="M38" s="76">
        <f>K38+K37</f>
        <v>183250</v>
      </c>
      <c r="N38" s="248">
        <v>65000</v>
      </c>
      <c r="O38" s="183"/>
      <c r="P38" s="43"/>
      <c r="Q38" s="44"/>
      <c r="R38" s="44"/>
      <c r="S38" s="40"/>
      <c r="T38" s="82"/>
      <c r="U38" s="32"/>
      <c r="V38" s="32"/>
    </row>
    <row r="39" spans="1:22" x14ac:dyDescent="0.25">
      <c r="A39" s="78">
        <v>51318</v>
      </c>
      <c r="B39" s="52"/>
      <c r="C39" s="139">
        <f t="shared" si="0"/>
        <v>1070</v>
      </c>
      <c r="D39" s="52"/>
      <c r="E39" s="139">
        <f t="shared" si="1"/>
        <v>65</v>
      </c>
      <c r="F39" s="52"/>
      <c r="G39" s="129">
        <v>5</v>
      </c>
      <c r="H39" s="52"/>
      <c r="I39" s="76">
        <f t="shared" si="2"/>
        <v>26750</v>
      </c>
      <c r="J39" s="52"/>
      <c r="K39" s="76">
        <f t="shared" si="3"/>
        <v>91750</v>
      </c>
      <c r="L39" s="52"/>
      <c r="M39" s="126"/>
      <c r="N39" s="248">
        <v>65000</v>
      </c>
      <c r="O39" s="183"/>
      <c r="P39" s="43"/>
      <c r="Q39" s="44"/>
      <c r="R39" s="44"/>
      <c r="S39" s="40"/>
      <c r="T39" s="82"/>
      <c r="V39" s="32"/>
    </row>
    <row r="40" spans="1:22" x14ac:dyDescent="0.25">
      <c r="A40" s="78">
        <v>51502</v>
      </c>
      <c r="B40" s="52"/>
      <c r="C40" s="139">
        <f t="shared" si="0"/>
        <v>1005</v>
      </c>
      <c r="D40" s="52"/>
      <c r="E40" s="139">
        <f t="shared" si="1"/>
        <v>65</v>
      </c>
      <c r="F40" s="52"/>
      <c r="G40" s="129">
        <v>5</v>
      </c>
      <c r="H40" s="52"/>
      <c r="I40" s="76">
        <f t="shared" si="2"/>
        <v>25125</v>
      </c>
      <c r="J40" s="52"/>
      <c r="K40" s="76">
        <f t="shared" si="3"/>
        <v>90125</v>
      </c>
      <c r="L40" s="52"/>
      <c r="M40" s="76">
        <f>K40+K39</f>
        <v>181875</v>
      </c>
      <c r="N40" s="248">
        <v>65000</v>
      </c>
      <c r="O40" s="183"/>
      <c r="P40" s="43"/>
      <c r="Q40" s="44"/>
      <c r="R40" s="44"/>
      <c r="S40" s="40"/>
      <c r="T40" s="82"/>
      <c r="U40" s="32"/>
      <c r="V40" s="32"/>
    </row>
    <row r="41" spans="1:22" x14ac:dyDescent="0.25">
      <c r="A41" s="78">
        <v>51683</v>
      </c>
      <c r="B41" s="52"/>
      <c r="C41" s="139">
        <f t="shared" si="0"/>
        <v>940</v>
      </c>
      <c r="D41" s="52"/>
      <c r="E41" s="139">
        <f t="shared" si="1"/>
        <v>70</v>
      </c>
      <c r="F41" s="52"/>
      <c r="G41" s="129">
        <v>5</v>
      </c>
      <c r="H41" s="52"/>
      <c r="I41" s="76">
        <f t="shared" si="2"/>
        <v>23500</v>
      </c>
      <c r="J41" s="52"/>
      <c r="K41" s="76">
        <f t="shared" si="3"/>
        <v>93500</v>
      </c>
      <c r="L41" s="52"/>
      <c r="M41" s="126"/>
      <c r="N41" s="248">
        <v>70000</v>
      </c>
      <c r="O41" s="183"/>
      <c r="P41" s="43"/>
      <c r="Q41" s="44"/>
      <c r="R41" s="44"/>
      <c r="S41" s="40"/>
      <c r="T41" s="82"/>
      <c r="U41" s="32"/>
      <c r="V41" s="32"/>
    </row>
    <row r="42" spans="1:22" x14ac:dyDescent="0.25">
      <c r="A42" s="78">
        <v>51867</v>
      </c>
      <c r="B42" s="52"/>
      <c r="C42" s="139">
        <f t="shared" si="0"/>
        <v>870</v>
      </c>
      <c r="D42" s="52"/>
      <c r="E42" s="139">
        <f t="shared" si="1"/>
        <v>70</v>
      </c>
      <c r="F42" s="52"/>
      <c r="G42" s="129">
        <v>5</v>
      </c>
      <c r="H42" s="52"/>
      <c r="I42" s="76">
        <f t="shared" si="2"/>
        <v>21750</v>
      </c>
      <c r="J42" s="52"/>
      <c r="K42" s="76">
        <f t="shared" si="3"/>
        <v>91750</v>
      </c>
      <c r="L42" s="52"/>
      <c r="M42" s="76">
        <f>K42+K41</f>
        <v>185250</v>
      </c>
      <c r="N42" s="248">
        <v>70000</v>
      </c>
      <c r="O42" s="183"/>
      <c r="P42" s="43"/>
      <c r="Q42" s="44"/>
      <c r="R42" s="44"/>
      <c r="S42" s="40"/>
      <c r="T42" s="82"/>
      <c r="U42" s="32"/>
      <c r="V42" s="32"/>
    </row>
    <row r="43" spans="1:22" x14ac:dyDescent="0.25">
      <c r="A43" s="78">
        <v>52048</v>
      </c>
      <c r="B43" s="52"/>
      <c r="C43" s="139">
        <f t="shared" si="0"/>
        <v>800</v>
      </c>
      <c r="D43" s="52"/>
      <c r="E43" s="139">
        <f t="shared" si="1"/>
        <v>70</v>
      </c>
      <c r="F43" s="52"/>
      <c r="G43" s="129">
        <v>5</v>
      </c>
      <c r="H43" s="52"/>
      <c r="I43" s="76">
        <f t="shared" si="2"/>
        <v>20000</v>
      </c>
      <c r="J43" s="52"/>
      <c r="K43" s="76">
        <f t="shared" si="3"/>
        <v>90000</v>
      </c>
      <c r="L43" s="52"/>
      <c r="M43" s="126"/>
      <c r="N43" s="248">
        <v>70000</v>
      </c>
      <c r="O43" s="183"/>
      <c r="P43" s="43"/>
      <c r="Q43" s="44"/>
      <c r="R43" s="44"/>
      <c r="S43" s="40"/>
      <c r="T43" s="82"/>
      <c r="U43" s="32"/>
      <c r="V43" s="32"/>
    </row>
    <row r="44" spans="1:22" x14ac:dyDescent="0.25">
      <c r="A44" s="78">
        <v>52232</v>
      </c>
      <c r="B44" s="52"/>
      <c r="C44" s="139">
        <f t="shared" si="0"/>
        <v>730</v>
      </c>
      <c r="D44" s="52"/>
      <c r="E44" s="139">
        <f t="shared" si="1"/>
        <v>75</v>
      </c>
      <c r="F44" s="52"/>
      <c r="G44" s="129">
        <v>5</v>
      </c>
      <c r="H44" s="52"/>
      <c r="I44" s="76">
        <f t="shared" si="2"/>
        <v>18250</v>
      </c>
      <c r="J44" s="52"/>
      <c r="K44" s="76">
        <f t="shared" si="3"/>
        <v>93250</v>
      </c>
      <c r="L44" s="52"/>
      <c r="M44" s="76">
        <f>K44+K43</f>
        <v>183250</v>
      </c>
      <c r="N44" s="248">
        <v>75000</v>
      </c>
      <c r="O44" s="183"/>
      <c r="P44" s="43"/>
      <c r="Q44" s="44"/>
      <c r="R44" s="44"/>
    </row>
    <row r="45" spans="1:22" x14ac:dyDescent="0.25">
      <c r="A45" s="78">
        <v>52413</v>
      </c>
      <c r="B45" s="52"/>
      <c r="C45" s="139">
        <f t="shared" si="0"/>
        <v>655</v>
      </c>
      <c r="D45" s="52"/>
      <c r="E45" s="139">
        <f t="shared" si="1"/>
        <v>75</v>
      </c>
      <c r="F45" s="52"/>
      <c r="G45" s="129">
        <v>5</v>
      </c>
      <c r="H45" s="52"/>
      <c r="I45" s="76">
        <f t="shared" si="2"/>
        <v>16375</v>
      </c>
      <c r="J45" s="52"/>
      <c r="K45" s="76">
        <f t="shared" si="3"/>
        <v>91375</v>
      </c>
      <c r="L45" s="52"/>
      <c r="M45" s="126"/>
      <c r="N45" s="248">
        <v>75000</v>
      </c>
      <c r="O45" s="183"/>
      <c r="P45" s="43"/>
      <c r="Q45" s="44"/>
      <c r="R45" s="44"/>
    </row>
    <row r="46" spans="1:22" x14ac:dyDescent="0.25">
      <c r="A46" s="78">
        <v>52597</v>
      </c>
      <c r="B46" s="52"/>
      <c r="C46" s="139">
        <f t="shared" si="0"/>
        <v>580</v>
      </c>
      <c r="D46" s="52"/>
      <c r="E46" s="139">
        <f t="shared" si="1"/>
        <v>75</v>
      </c>
      <c r="F46" s="52"/>
      <c r="G46" s="129">
        <v>5</v>
      </c>
      <c r="H46" s="52"/>
      <c r="I46" s="76">
        <f t="shared" si="2"/>
        <v>14500</v>
      </c>
      <c r="J46" s="52"/>
      <c r="K46" s="76">
        <f t="shared" si="3"/>
        <v>89500</v>
      </c>
      <c r="L46" s="52"/>
      <c r="M46" s="76">
        <f>K46+K45</f>
        <v>180875</v>
      </c>
      <c r="N46" s="248">
        <v>75000</v>
      </c>
      <c r="O46" s="183"/>
      <c r="P46" s="43"/>
      <c r="Q46" s="44"/>
      <c r="R46" s="44"/>
    </row>
    <row r="47" spans="1:22" x14ac:dyDescent="0.25">
      <c r="A47" s="78">
        <v>52779</v>
      </c>
      <c r="B47" s="52"/>
      <c r="C47" s="139">
        <f t="shared" si="0"/>
        <v>505</v>
      </c>
      <c r="D47" s="52"/>
      <c r="E47" s="139">
        <f t="shared" si="1"/>
        <v>80</v>
      </c>
      <c r="F47" s="52"/>
      <c r="G47" s="129">
        <v>5</v>
      </c>
      <c r="H47" s="52"/>
      <c r="I47" s="76">
        <f t="shared" si="2"/>
        <v>12625</v>
      </c>
      <c r="J47" s="52"/>
      <c r="K47" s="76">
        <f t="shared" si="3"/>
        <v>92625</v>
      </c>
      <c r="L47" s="52"/>
      <c r="M47" s="126"/>
      <c r="N47" s="248">
        <v>80000</v>
      </c>
      <c r="O47" s="183"/>
      <c r="P47" s="43"/>
      <c r="Q47" s="44"/>
      <c r="R47" s="44"/>
    </row>
    <row r="48" spans="1:22" x14ac:dyDescent="0.25">
      <c r="A48" s="78">
        <v>52963</v>
      </c>
      <c r="B48" s="52"/>
      <c r="C48" s="139">
        <f t="shared" si="0"/>
        <v>425</v>
      </c>
      <c r="D48" s="52"/>
      <c r="E48" s="139">
        <f t="shared" si="1"/>
        <v>80</v>
      </c>
      <c r="F48" s="52"/>
      <c r="G48" s="129">
        <v>5</v>
      </c>
      <c r="H48" s="52"/>
      <c r="I48" s="76">
        <f t="shared" si="2"/>
        <v>10625</v>
      </c>
      <c r="J48" s="52"/>
      <c r="K48" s="76">
        <f t="shared" si="3"/>
        <v>90625</v>
      </c>
      <c r="L48" s="52"/>
      <c r="M48" s="76">
        <f>K48+K47</f>
        <v>183250</v>
      </c>
      <c r="N48" s="248">
        <v>80000</v>
      </c>
      <c r="O48" s="183"/>
      <c r="P48" s="43"/>
      <c r="Q48" s="44"/>
      <c r="R48" s="44"/>
    </row>
    <row r="49" spans="1:18" x14ac:dyDescent="0.25">
      <c r="A49" s="78">
        <v>53144</v>
      </c>
      <c r="B49" s="52"/>
      <c r="C49" s="139">
        <f t="shared" si="0"/>
        <v>345</v>
      </c>
      <c r="D49" s="52"/>
      <c r="E49" s="139">
        <f t="shared" si="1"/>
        <v>85</v>
      </c>
      <c r="F49" s="52"/>
      <c r="G49" s="129">
        <v>5</v>
      </c>
      <c r="H49" s="52"/>
      <c r="I49" s="76">
        <f t="shared" si="2"/>
        <v>8625</v>
      </c>
      <c r="J49" s="52"/>
      <c r="K49" s="76">
        <f t="shared" si="3"/>
        <v>93625</v>
      </c>
      <c r="L49" s="52"/>
      <c r="M49" s="76"/>
      <c r="N49" s="248">
        <v>85000</v>
      </c>
      <c r="O49" s="183"/>
      <c r="P49" s="43"/>
      <c r="Q49" s="44"/>
      <c r="R49" s="44"/>
    </row>
    <row r="50" spans="1:18" x14ac:dyDescent="0.25">
      <c r="A50" s="78">
        <v>53328</v>
      </c>
      <c r="B50" s="52"/>
      <c r="C50" s="139">
        <f t="shared" si="0"/>
        <v>260</v>
      </c>
      <c r="D50" s="52"/>
      <c r="E50" s="139">
        <f t="shared" si="1"/>
        <v>85</v>
      </c>
      <c r="F50" s="52"/>
      <c r="G50" s="129">
        <v>5</v>
      </c>
      <c r="H50" s="52"/>
      <c r="I50" s="76">
        <f t="shared" si="2"/>
        <v>6500</v>
      </c>
      <c r="J50" s="52"/>
      <c r="K50" s="76">
        <f t="shared" si="3"/>
        <v>91500</v>
      </c>
      <c r="L50" s="52"/>
      <c r="M50" s="126">
        <f>SUM(K49:K50)</f>
        <v>185125</v>
      </c>
      <c r="N50" s="248">
        <v>85000</v>
      </c>
      <c r="O50" s="183"/>
      <c r="P50" s="43"/>
      <c r="Q50" s="44"/>
      <c r="R50" s="44"/>
    </row>
    <row r="51" spans="1:18" x14ac:dyDescent="0.25">
      <c r="A51" s="78">
        <v>53509</v>
      </c>
      <c r="B51" s="52"/>
      <c r="C51" s="139">
        <f t="shared" si="0"/>
        <v>175</v>
      </c>
      <c r="D51" s="52"/>
      <c r="E51" s="139">
        <f>N51/1000</f>
        <v>85</v>
      </c>
      <c r="F51" s="52"/>
      <c r="G51" s="129">
        <v>5</v>
      </c>
      <c r="H51" s="52"/>
      <c r="I51" s="76">
        <f t="shared" si="2"/>
        <v>4375</v>
      </c>
      <c r="J51" s="52"/>
      <c r="K51" s="76">
        <f>E51*1000+I51</f>
        <v>89375</v>
      </c>
      <c r="L51" s="52"/>
      <c r="M51" s="126"/>
      <c r="N51" s="248">
        <v>85000</v>
      </c>
      <c r="O51" s="183"/>
      <c r="P51" s="43"/>
      <c r="Q51" s="44"/>
      <c r="R51" s="44"/>
    </row>
    <row r="52" spans="1:18" x14ac:dyDescent="0.25">
      <c r="A52" s="78">
        <v>53693</v>
      </c>
      <c r="B52" s="52"/>
      <c r="C52" s="265">
        <f t="shared" si="0"/>
        <v>90</v>
      </c>
      <c r="D52" s="52"/>
      <c r="E52" s="139">
        <f>N52/1000</f>
        <v>90</v>
      </c>
      <c r="F52" s="52"/>
      <c r="G52" s="129">
        <v>5</v>
      </c>
      <c r="H52" s="52"/>
      <c r="I52" s="76">
        <f t="shared" si="2"/>
        <v>2250</v>
      </c>
      <c r="J52" s="52"/>
      <c r="K52" s="76">
        <f t="shared" si="3"/>
        <v>92250</v>
      </c>
      <c r="L52" s="52"/>
      <c r="M52" s="126">
        <f>K51+K52</f>
        <v>181625</v>
      </c>
      <c r="N52" s="248">
        <v>90000</v>
      </c>
      <c r="O52" s="183"/>
      <c r="P52" s="43"/>
      <c r="Q52" s="44"/>
      <c r="R52" s="44"/>
    </row>
    <row r="53" spans="1:18" x14ac:dyDescent="0.25">
      <c r="A53" s="78"/>
      <c r="B53" s="52"/>
      <c r="C53" s="57"/>
      <c r="D53" s="52"/>
      <c r="E53" s="148"/>
      <c r="F53" s="52"/>
      <c r="G53" s="65"/>
      <c r="H53" s="52"/>
      <c r="I53" s="132"/>
      <c r="J53" s="52"/>
      <c r="K53" s="132"/>
      <c r="L53" s="52"/>
      <c r="M53" s="130"/>
      <c r="O53" s="155"/>
      <c r="P53" s="43"/>
      <c r="Q53" s="44"/>
      <c r="R53" s="44"/>
    </row>
    <row r="54" spans="1:18" ht="16.5" thickBot="1" x14ac:dyDescent="0.3">
      <c r="A54" s="78"/>
      <c r="B54" s="52"/>
      <c r="C54" s="59"/>
      <c r="D54" s="52"/>
      <c r="E54" s="174">
        <f>SUBTOTAL(109,E12:E52)</f>
        <v>2290</v>
      </c>
      <c r="F54" s="52"/>
      <c r="G54" s="76"/>
      <c r="H54" s="52"/>
      <c r="I54" s="175">
        <f>SUBTOTAL(109,I12:I53)</f>
        <v>1418875</v>
      </c>
      <c r="J54" s="120"/>
      <c r="K54" s="175">
        <f>SUBTOTAL(109,K12:K53)</f>
        <v>3708875</v>
      </c>
      <c r="L54" s="120"/>
      <c r="M54" s="175">
        <f>SUBTOTAL(109,M12:M53)</f>
        <v>3708875</v>
      </c>
      <c r="N54" s="33"/>
      <c r="O54" s="185"/>
      <c r="P54" s="43"/>
      <c r="Q54" s="44"/>
      <c r="R54" s="44"/>
    </row>
    <row r="55" spans="1:18" ht="16.5" thickTop="1" x14ac:dyDescent="0.25">
      <c r="A55" s="78"/>
      <c r="B55" s="52"/>
      <c r="C55" s="59"/>
      <c r="D55" s="52"/>
      <c r="E55" s="140"/>
      <c r="F55" s="52"/>
      <c r="G55" s="76"/>
      <c r="H55" s="52"/>
      <c r="I55" s="140"/>
      <c r="J55" s="52"/>
      <c r="K55" s="140"/>
      <c r="L55" s="52"/>
      <c r="M55" s="140"/>
      <c r="N55" s="33"/>
      <c r="O55" s="155"/>
      <c r="P55" s="43"/>
      <c r="Q55" s="44"/>
      <c r="R55" s="44"/>
    </row>
    <row r="56" spans="1:18" x14ac:dyDescent="0.25">
      <c r="A56" s="249" t="s">
        <v>153</v>
      </c>
      <c r="B56" s="109"/>
      <c r="C56" s="83"/>
      <c r="D56" s="109"/>
      <c r="E56" s="83"/>
      <c r="F56" s="109"/>
      <c r="G56" s="250"/>
      <c r="H56" s="109"/>
      <c r="I56" s="83"/>
      <c r="J56" s="91"/>
      <c r="K56" s="42"/>
      <c r="L56" s="91"/>
      <c r="M56" s="42"/>
      <c r="O56" s="155"/>
      <c r="P56" s="44"/>
      <c r="Q56" s="44"/>
      <c r="R56" s="44"/>
    </row>
    <row r="57" spans="1:18" x14ac:dyDescent="0.25">
      <c r="A57" s="45">
        <f>'Proposed Bonds 1'!A57+1</f>
        <v>6</v>
      </c>
      <c r="B57" s="91"/>
      <c r="C57" s="42"/>
      <c r="D57" s="91"/>
      <c r="E57" s="42"/>
      <c r="F57" s="91"/>
      <c r="G57" s="113"/>
      <c r="H57" s="91"/>
      <c r="I57" s="42"/>
      <c r="J57" s="91"/>
      <c r="K57" s="42"/>
      <c r="L57" s="91"/>
      <c r="M57" s="42"/>
      <c r="O57" s="155"/>
      <c r="P57" s="44"/>
      <c r="Q57" s="44"/>
      <c r="R57" s="44"/>
    </row>
    <row r="58" spans="1:18" x14ac:dyDescent="0.25">
      <c r="A58" s="116"/>
      <c r="C58" s="76"/>
      <c r="E58" s="76"/>
      <c r="G58" s="77"/>
      <c r="I58" s="76"/>
      <c r="K58" s="76"/>
      <c r="M58" s="76"/>
      <c r="O58" s="155"/>
      <c r="P58" s="44"/>
      <c r="Q58" s="44"/>
      <c r="R58" s="44"/>
    </row>
    <row r="59" spans="1:18" x14ac:dyDescent="0.25">
      <c r="A59" s="116"/>
      <c r="B59" s="91"/>
      <c r="C59" s="76"/>
      <c r="D59" s="91"/>
      <c r="E59" s="76"/>
      <c r="F59" s="91"/>
      <c r="G59" s="77"/>
      <c r="H59" s="91"/>
      <c r="I59" s="76"/>
      <c r="J59" s="91"/>
      <c r="K59" s="76"/>
      <c r="L59" s="91"/>
      <c r="M59" s="76">
        <f>COUNT(M13:M52)</f>
        <v>20</v>
      </c>
      <c r="O59" s="155"/>
      <c r="P59" s="44"/>
      <c r="Q59" s="44"/>
      <c r="R59" s="44"/>
    </row>
    <row r="60" spans="1:18" x14ac:dyDescent="0.25">
      <c r="A60" s="78"/>
      <c r="B60" s="91"/>
      <c r="C60" s="76"/>
      <c r="D60" s="91"/>
      <c r="E60" s="76"/>
      <c r="F60" s="91"/>
      <c r="G60" s="77"/>
      <c r="H60" s="91"/>
      <c r="I60" s="76"/>
      <c r="J60" s="91"/>
      <c r="K60" s="76"/>
      <c r="L60" s="91"/>
      <c r="M60" s="76"/>
      <c r="O60" s="155"/>
      <c r="P60" s="44"/>
      <c r="Q60" s="44"/>
      <c r="R60" s="44"/>
    </row>
    <row r="61" spans="1:18" x14ac:dyDescent="0.25">
      <c r="B61" s="52"/>
      <c r="D61" s="52"/>
      <c r="E61" s="46"/>
      <c r="F61" s="52"/>
      <c r="H61" s="52"/>
      <c r="I61" s="47"/>
      <c r="J61" s="52"/>
      <c r="K61" s="47"/>
      <c r="L61" s="52"/>
      <c r="M61" s="47"/>
      <c r="O61" s="186"/>
      <c r="P61" s="44"/>
      <c r="Q61" s="44"/>
      <c r="R61" s="44"/>
    </row>
    <row r="62" spans="1:18" x14ac:dyDescent="0.25">
      <c r="B62" s="91"/>
      <c r="D62" s="91"/>
      <c r="E62" s="46"/>
      <c r="F62" s="91"/>
      <c r="H62" s="91"/>
      <c r="I62" s="47"/>
      <c r="J62" s="91"/>
      <c r="K62" s="47"/>
      <c r="L62" s="91"/>
      <c r="M62" s="47"/>
      <c r="O62" s="44"/>
      <c r="P62" s="44"/>
      <c r="Q62" s="44"/>
      <c r="R62" s="44"/>
    </row>
    <row r="63" spans="1:18" x14ac:dyDescent="0.25">
      <c r="E63" s="46"/>
      <c r="I63" s="47"/>
      <c r="K63" s="47"/>
      <c r="M63" s="47"/>
      <c r="O63" s="44"/>
      <c r="P63" s="44"/>
      <c r="Q63" s="44"/>
      <c r="R63" s="44"/>
    </row>
    <row r="64" spans="1:18" x14ac:dyDescent="0.25">
      <c r="E64" s="46"/>
      <c r="I64" s="47"/>
      <c r="K64" s="47"/>
      <c r="M64" s="47"/>
      <c r="O64" s="44"/>
      <c r="P64" s="44"/>
      <c r="Q64" s="44"/>
      <c r="R64" s="44"/>
    </row>
    <row r="65" spans="1:18" x14ac:dyDescent="0.25">
      <c r="O65" s="47"/>
      <c r="P65" s="44"/>
      <c r="Q65" s="44"/>
      <c r="R65" s="44"/>
    </row>
    <row r="66" spans="1:18" x14ac:dyDescent="0.25">
      <c r="A66" s="91"/>
      <c r="C66" s="91"/>
      <c r="E66" s="91"/>
      <c r="G66" s="91"/>
      <c r="I66" s="91"/>
      <c r="K66" s="91"/>
      <c r="M66" s="91"/>
      <c r="O66" s="44"/>
      <c r="P66" s="44"/>
      <c r="Q66" s="44"/>
      <c r="R66" s="44"/>
    </row>
    <row r="67" spans="1:18" x14ac:dyDescent="0.25">
      <c r="A67" s="91"/>
      <c r="C67" s="91"/>
      <c r="E67" s="91"/>
      <c r="G67" s="91"/>
      <c r="I67" s="91"/>
      <c r="K67" s="91"/>
      <c r="M67" s="91"/>
      <c r="O67" s="44"/>
      <c r="P67" s="44"/>
      <c r="Q67" s="44"/>
      <c r="R67" s="44"/>
    </row>
    <row r="68" spans="1:18" x14ac:dyDescent="0.25">
      <c r="A68" s="52"/>
      <c r="C68" s="52"/>
      <c r="E68" s="52"/>
      <c r="G68" s="52"/>
      <c r="I68" s="52"/>
      <c r="K68" s="52"/>
      <c r="M68" s="52"/>
      <c r="O68" s="44"/>
      <c r="P68" s="44"/>
      <c r="Q68" s="44"/>
      <c r="R68" s="44"/>
    </row>
    <row r="69" spans="1:18" x14ac:dyDescent="0.25">
      <c r="A69" s="91"/>
      <c r="C69" s="91"/>
      <c r="E69" s="91"/>
      <c r="G69" s="91"/>
      <c r="I69" s="91"/>
      <c r="K69" s="91"/>
      <c r="M69" s="91"/>
      <c r="O69" s="44"/>
      <c r="P69" s="44"/>
      <c r="Q69" s="44"/>
      <c r="R69" s="44"/>
    </row>
    <row r="70" spans="1:18" x14ac:dyDescent="0.25">
      <c r="M70" s="32"/>
      <c r="O70" s="44"/>
      <c r="P70" s="44"/>
      <c r="Q70" s="44"/>
      <c r="R70" s="44"/>
    </row>
    <row r="72" spans="1:18" x14ac:dyDescent="0.25">
      <c r="M72" s="121"/>
    </row>
  </sheetData>
  <printOptions horizontalCentered="1"/>
  <pageMargins left="0.75" right="0.75" top="1" bottom="1" header="0.5" footer="0.5"/>
  <pageSetup scale="72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80"/>
  <sheetViews>
    <sheetView view="pageBreakPreview" topLeftCell="A37" zoomScale="80" zoomScaleNormal="100" zoomScaleSheetLayoutView="80" zoomScalePageLayoutView="60" workbookViewId="0">
      <selection activeCell="E56" sqref="E56"/>
    </sheetView>
  </sheetViews>
  <sheetFormatPr defaultColWidth="9.140625" defaultRowHeight="15.75" x14ac:dyDescent="0.25"/>
  <cols>
    <col min="1" max="1" width="13.42578125" style="1" customWidth="1"/>
    <col min="2" max="2" width="6.5703125" style="96" customWidth="1"/>
    <col min="3" max="3" width="15.140625" style="96" customWidth="1"/>
    <col min="4" max="4" width="6.5703125" style="1" customWidth="1"/>
    <col min="5" max="5" width="15.7109375" style="1" bestFit="1" customWidth="1"/>
    <col min="6" max="6" width="6.5703125" style="1" customWidth="1"/>
    <col min="7" max="7" width="17.28515625" style="1" bestFit="1" customWidth="1"/>
    <col min="8" max="8" width="6.5703125" style="1" customWidth="1"/>
    <col min="9" max="9" width="15.7109375" style="1" bestFit="1" customWidth="1"/>
    <col min="10" max="10" width="6.5703125" style="1" customWidth="1"/>
    <col min="11" max="11" width="15.7109375" style="1" bestFit="1" customWidth="1"/>
    <col min="12" max="12" width="9.42578125" style="1" bestFit="1" customWidth="1"/>
    <col min="13" max="13" width="13.85546875" style="1" bestFit="1" customWidth="1"/>
    <col min="14" max="14" width="11" style="1" bestFit="1" customWidth="1"/>
    <col min="15" max="16384" width="9.140625" style="1"/>
  </cols>
  <sheetData>
    <row r="1" spans="1:29" x14ac:dyDescent="0.25">
      <c r="A1" s="114" t="str">
        <f>'Cap Plan P1'!A1</f>
        <v>ANYTOWN WATER UTILITY/SEWAGE WORKS</v>
      </c>
      <c r="B1" s="91"/>
      <c r="C1" s="114"/>
      <c r="D1" s="4"/>
      <c r="E1" s="5"/>
      <c r="F1" s="4"/>
      <c r="G1" s="5"/>
      <c r="H1" s="4"/>
      <c r="I1" s="5"/>
      <c r="J1" s="4"/>
      <c r="K1" s="5"/>
      <c r="AC1" s="1">
        <v>7</v>
      </c>
    </row>
    <row r="2" spans="1:29" x14ac:dyDescent="0.25">
      <c r="A2" s="103"/>
      <c r="C2" s="103"/>
      <c r="E2" s="4"/>
      <c r="G2" s="4"/>
      <c r="I2" s="4"/>
      <c r="K2" s="4"/>
    </row>
    <row r="3" spans="1:29" x14ac:dyDescent="0.25">
      <c r="A3" s="6" t="s">
        <v>54</v>
      </c>
      <c r="B3" s="141"/>
      <c r="C3" s="67"/>
      <c r="D3" s="5"/>
      <c r="E3" s="4"/>
      <c r="F3" s="5"/>
      <c r="G3" s="4"/>
      <c r="H3" s="5"/>
      <c r="I3" s="4"/>
      <c r="J3" s="5"/>
      <c r="K3" s="4"/>
    </row>
    <row r="4" spans="1:29" ht="6.6" customHeight="1" x14ac:dyDescent="0.25">
      <c r="B4" s="91"/>
      <c r="D4" s="4"/>
      <c r="F4" s="4"/>
      <c r="H4" s="4"/>
      <c r="J4" s="4"/>
    </row>
    <row r="5" spans="1:29" ht="14.65" customHeight="1" x14ac:dyDescent="0.25">
      <c r="A5" s="7" t="s">
        <v>7</v>
      </c>
      <c r="B5" s="91"/>
      <c r="C5" s="128"/>
      <c r="D5" s="4"/>
      <c r="E5" s="111"/>
      <c r="F5" s="4"/>
      <c r="G5" s="110"/>
      <c r="H5" s="4"/>
      <c r="I5" s="128"/>
      <c r="J5" s="4"/>
      <c r="K5" s="7" t="s">
        <v>13</v>
      </c>
    </row>
    <row r="6" spans="1:29" ht="14.65" customHeight="1" x14ac:dyDescent="0.25">
      <c r="A6" s="8" t="s">
        <v>53</v>
      </c>
      <c r="B6" s="91"/>
      <c r="C6" s="133" t="s">
        <v>121</v>
      </c>
      <c r="D6" s="4"/>
      <c r="E6" s="8" t="s">
        <v>119</v>
      </c>
      <c r="F6" s="4"/>
      <c r="G6" s="8" t="s">
        <v>120</v>
      </c>
      <c r="H6" s="4"/>
      <c r="I6" s="85" t="s">
        <v>8</v>
      </c>
      <c r="J6" s="4"/>
      <c r="K6" s="8" t="s">
        <v>48</v>
      </c>
    </row>
    <row r="7" spans="1:29" ht="14.45" customHeight="1" x14ac:dyDescent="0.25">
      <c r="B7" s="91"/>
      <c r="D7" s="4"/>
      <c r="E7" s="7"/>
      <c r="F7" s="4"/>
      <c r="H7" s="4"/>
      <c r="I7" s="12"/>
      <c r="J7" s="4"/>
    </row>
    <row r="8" spans="1:29" ht="14.65" customHeight="1" x14ac:dyDescent="0.25">
      <c r="A8" s="78">
        <v>43282</v>
      </c>
      <c r="C8" s="121">
        <f>'Out. Bonds'!K12</f>
        <v>114325</v>
      </c>
      <c r="D8" s="98"/>
      <c r="E8" s="98"/>
      <c r="F8" s="98"/>
      <c r="G8" s="24"/>
      <c r="H8" s="98"/>
      <c r="I8" s="121">
        <f t="shared" ref="I8:I53" si="0">SUM(C8:H8)</f>
        <v>114325</v>
      </c>
      <c r="J8" s="98"/>
      <c r="K8" s="121"/>
    </row>
    <row r="9" spans="1:29" ht="14.65" customHeight="1" x14ac:dyDescent="0.25">
      <c r="A9" s="78">
        <v>43466</v>
      </c>
      <c r="B9" s="52"/>
      <c r="C9" s="98">
        <f>'Out. Bonds'!K13</f>
        <v>118275</v>
      </c>
      <c r="D9" s="24"/>
      <c r="E9" s="98"/>
      <c r="F9" s="24"/>
      <c r="G9" s="24"/>
      <c r="H9" s="24"/>
      <c r="I9" s="24">
        <f t="shared" si="0"/>
        <v>118275</v>
      </c>
      <c r="J9" s="24"/>
      <c r="K9" s="121">
        <f>I9+I8</f>
        <v>232600</v>
      </c>
    </row>
    <row r="10" spans="1:29" ht="14.65" customHeight="1" x14ac:dyDescent="0.25">
      <c r="A10" s="78">
        <v>43647</v>
      </c>
      <c r="B10" s="52"/>
      <c r="C10" s="98">
        <f>'Out. Bonds'!K14</f>
        <v>117150</v>
      </c>
      <c r="D10" s="24"/>
      <c r="E10" s="98"/>
      <c r="F10" s="24"/>
      <c r="G10" s="24"/>
      <c r="H10" s="24"/>
      <c r="I10" s="24">
        <f t="shared" si="0"/>
        <v>117150</v>
      </c>
      <c r="J10" s="24"/>
      <c r="K10" s="24"/>
    </row>
    <row r="11" spans="1:29" ht="14.65" customHeight="1" x14ac:dyDescent="0.25">
      <c r="A11" s="78">
        <v>43831</v>
      </c>
      <c r="B11" s="52"/>
      <c r="C11" s="98">
        <f>'Out. Bonds'!K15</f>
        <v>116025</v>
      </c>
      <c r="D11" s="24"/>
      <c r="E11" s="98"/>
      <c r="F11" s="24"/>
      <c r="G11" s="24"/>
      <c r="H11" s="24"/>
      <c r="I11" s="24">
        <f t="shared" si="0"/>
        <v>116025</v>
      </c>
      <c r="J11" s="24"/>
      <c r="K11" s="98">
        <f t="shared" ref="K11:K65" si="1">I11+I10</f>
        <v>233175</v>
      </c>
    </row>
    <row r="12" spans="1:29" ht="14.65" customHeight="1" x14ac:dyDescent="0.25">
      <c r="A12" s="78">
        <v>44013</v>
      </c>
      <c r="B12" s="52"/>
      <c r="C12" s="98">
        <f>'Out. Bonds'!K16</f>
        <v>114900</v>
      </c>
      <c r="D12" s="24"/>
      <c r="E12" s="98"/>
      <c r="F12" s="24"/>
      <c r="G12" s="24"/>
      <c r="H12" s="24"/>
      <c r="I12" s="24">
        <f t="shared" si="0"/>
        <v>114900</v>
      </c>
      <c r="J12" s="24"/>
      <c r="K12" s="98"/>
    </row>
    <row r="13" spans="1:29" ht="14.65" customHeight="1" x14ac:dyDescent="0.25">
      <c r="A13" s="78">
        <v>44197</v>
      </c>
      <c r="B13" s="52"/>
      <c r="C13" s="98">
        <f>'Out. Bonds'!K17</f>
        <v>118775</v>
      </c>
      <c r="D13" s="24"/>
      <c r="E13" s="98"/>
      <c r="F13" s="24"/>
      <c r="G13" s="24"/>
      <c r="H13" s="24"/>
      <c r="I13" s="24">
        <f t="shared" si="0"/>
        <v>118775</v>
      </c>
      <c r="J13" s="24"/>
      <c r="K13" s="98">
        <f t="shared" si="1"/>
        <v>233675</v>
      </c>
    </row>
    <row r="14" spans="1:29" ht="14.65" customHeight="1" x14ac:dyDescent="0.25">
      <c r="A14" s="78">
        <v>44378</v>
      </c>
      <c r="B14" s="52"/>
      <c r="C14" s="98">
        <f>'Out. Bonds'!K18</f>
        <v>117575</v>
      </c>
      <c r="D14" s="24"/>
      <c r="E14" s="98"/>
      <c r="F14" s="24"/>
      <c r="G14" s="24"/>
      <c r="H14" s="24"/>
      <c r="I14" s="24">
        <f t="shared" si="0"/>
        <v>117575</v>
      </c>
      <c r="J14" s="24"/>
      <c r="K14" s="98"/>
    </row>
    <row r="15" spans="1:29" ht="14.65" customHeight="1" x14ac:dyDescent="0.25">
      <c r="A15" s="78">
        <v>44562</v>
      </c>
      <c r="B15" s="52"/>
      <c r="C15" s="98">
        <f>'Out. Bonds'!K19</f>
        <v>116375</v>
      </c>
      <c r="D15" s="24"/>
      <c r="E15" s="98"/>
      <c r="F15" s="24"/>
      <c r="G15" s="24"/>
      <c r="H15" s="24"/>
      <c r="I15" s="24">
        <f t="shared" si="0"/>
        <v>116375</v>
      </c>
      <c r="J15" s="24"/>
      <c r="K15" s="98">
        <f t="shared" si="1"/>
        <v>233950</v>
      </c>
    </row>
    <row r="16" spans="1:29" ht="14.65" customHeight="1" x14ac:dyDescent="0.25">
      <c r="A16" s="78">
        <v>44743</v>
      </c>
      <c r="B16" s="52"/>
      <c r="C16" s="98">
        <f>'Out. Bonds'!K20</f>
        <v>115175</v>
      </c>
      <c r="D16" s="24"/>
      <c r="F16" s="24"/>
      <c r="G16" s="24"/>
      <c r="H16" s="24"/>
      <c r="I16" s="24">
        <f t="shared" si="0"/>
        <v>115175</v>
      </c>
      <c r="J16" s="24"/>
      <c r="K16" s="98"/>
    </row>
    <row r="17" spans="1:11" ht="14.65" customHeight="1" x14ac:dyDescent="0.25">
      <c r="A17" s="78">
        <v>44927</v>
      </c>
      <c r="B17" s="52"/>
      <c r="C17" s="98">
        <f>'Out. Bonds'!K21</f>
        <v>118975</v>
      </c>
      <c r="D17" s="24"/>
      <c r="E17" s="121">
        <f>'Proposed Bonds 1'!K12</f>
        <v>22300</v>
      </c>
      <c r="F17" s="24"/>
      <c r="G17" s="24"/>
      <c r="H17" s="24"/>
      <c r="I17" s="24">
        <f t="shared" si="0"/>
        <v>141275</v>
      </c>
      <c r="J17" s="24"/>
      <c r="K17" s="98">
        <f t="shared" si="1"/>
        <v>256450</v>
      </c>
    </row>
    <row r="18" spans="1:11" ht="14.65" customHeight="1" x14ac:dyDescent="0.25">
      <c r="A18" s="78">
        <v>45108</v>
      </c>
      <c r="B18" s="52"/>
      <c r="C18" s="98">
        <f>'Out. Bonds'!K22</f>
        <v>117700</v>
      </c>
      <c r="D18" s="24"/>
      <c r="E18" s="98">
        <f>'Proposed Bonds 1'!K13</f>
        <v>42300</v>
      </c>
      <c r="F18" s="24"/>
      <c r="G18" s="24"/>
      <c r="H18" s="24"/>
      <c r="I18" s="24">
        <f t="shared" si="0"/>
        <v>160000</v>
      </c>
      <c r="J18" s="24"/>
      <c r="K18" s="98"/>
    </row>
    <row r="19" spans="1:11" ht="14.65" customHeight="1" x14ac:dyDescent="0.25">
      <c r="A19" s="78">
        <v>45292</v>
      </c>
      <c r="B19" s="52"/>
      <c r="C19" s="98">
        <f>'Out. Bonds'!K23</f>
        <v>116425</v>
      </c>
      <c r="D19" s="24"/>
      <c r="E19" s="98">
        <f>'Proposed Bonds 1'!K14</f>
        <v>41900</v>
      </c>
      <c r="F19" s="24"/>
      <c r="G19" s="24"/>
      <c r="H19" s="24"/>
      <c r="I19" s="24">
        <f t="shared" si="0"/>
        <v>158325</v>
      </c>
      <c r="J19" s="24"/>
      <c r="K19" s="98">
        <f t="shared" si="1"/>
        <v>318325</v>
      </c>
    </row>
    <row r="20" spans="1:11" ht="14.65" customHeight="1" x14ac:dyDescent="0.25">
      <c r="A20" s="78">
        <v>45474</v>
      </c>
      <c r="B20" s="52"/>
      <c r="C20" s="98">
        <f>'Out. Bonds'!K24</f>
        <v>115150</v>
      </c>
      <c r="D20" s="24"/>
      <c r="E20" s="98">
        <f>'Proposed Bonds 1'!K15</f>
        <v>41500</v>
      </c>
      <c r="F20" s="24"/>
      <c r="G20" s="24"/>
      <c r="H20" s="24"/>
      <c r="I20" s="24">
        <f t="shared" si="0"/>
        <v>156650</v>
      </c>
      <c r="J20" s="24"/>
      <c r="K20" s="98"/>
    </row>
    <row r="21" spans="1:11" ht="14.65" customHeight="1" x14ac:dyDescent="0.25">
      <c r="A21" s="78">
        <v>45658</v>
      </c>
      <c r="B21" s="52"/>
      <c r="C21" s="98">
        <f>'Out. Bonds'!K25</f>
        <v>118875</v>
      </c>
      <c r="D21" s="24"/>
      <c r="E21" s="98">
        <f>'Proposed Bonds 1'!K16</f>
        <v>41100</v>
      </c>
      <c r="F21" s="24"/>
      <c r="G21" s="24"/>
      <c r="H21" s="24"/>
      <c r="I21" s="24">
        <f t="shared" si="0"/>
        <v>159975</v>
      </c>
      <c r="J21" s="24"/>
      <c r="K21" s="98">
        <f t="shared" si="1"/>
        <v>316625</v>
      </c>
    </row>
    <row r="22" spans="1:11" ht="14.65" customHeight="1" x14ac:dyDescent="0.25">
      <c r="A22" s="78">
        <v>45839</v>
      </c>
      <c r="B22" s="52"/>
      <c r="C22" s="98">
        <f>'Out. Bonds'!K26</f>
        <v>117525</v>
      </c>
      <c r="D22" s="24"/>
      <c r="E22" s="98">
        <f>'Proposed Bonds 1'!K17</f>
        <v>40700</v>
      </c>
      <c r="F22" s="24"/>
      <c r="G22" s="24"/>
      <c r="H22" s="24"/>
      <c r="I22" s="24">
        <f t="shared" si="0"/>
        <v>158225</v>
      </c>
      <c r="J22" s="24"/>
      <c r="K22" s="98"/>
    </row>
    <row r="23" spans="1:11" ht="14.65" customHeight="1" x14ac:dyDescent="0.25">
      <c r="A23" s="78">
        <v>46023</v>
      </c>
      <c r="B23" s="52"/>
      <c r="C23" s="98">
        <f>'Out. Bonds'!K27</f>
        <v>116175</v>
      </c>
      <c r="D23" s="24"/>
      <c r="E23" s="98">
        <f>'Proposed Bonds 1'!K18</f>
        <v>40300</v>
      </c>
      <c r="F23" s="24"/>
      <c r="G23" s="261"/>
      <c r="H23" s="24"/>
      <c r="I23" s="24">
        <f t="shared" si="0"/>
        <v>156475</v>
      </c>
      <c r="J23" s="24"/>
      <c r="K23" s="98">
        <f t="shared" si="1"/>
        <v>314700</v>
      </c>
    </row>
    <row r="24" spans="1:11" ht="14.65" customHeight="1" x14ac:dyDescent="0.25">
      <c r="A24" s="78">
        <v>46204</v>
      </c>
      <c r="B24" s="52"/>
      <c r="C24" s="98">
        <f>'Out. Bonds'!K28</f>
        <v>114825</v>
      </c>
      <c r="D24" s="24"/>
      <c r="E24" s="98">
        <f>'Proposed Bonds 1'!K19</f>
        <v>39900</v>
      </c>
      <c r="F24" s="24"/>
      <c r="H24" s="24"/>
      <c r="I24" s="24">
        <f t="shared" si="0"/>
        <v>154725</v>
      </c>
      <c r="J24" s="24"/>
      <c r="K24" s="98"/>
    </row>
    <row r="25" spans="1:11" ht="14.65" customHeight="1" x14ac:dyDescent="0.25">
      <c r="A25" s="78">
        <v>46388</v>
      </c>
      <c r="B25" s="52"/>
      <c r="C25" s="98">
        <f>'Out. Bonds'!K29</f>
        <v>118475</v>
      </c>
      <c r="D25" s="24"/>
      <c r="E25" s="98">
        <f>'Proposed Bonds 1'!K20</f>
        <v>39500</v>
      </c>
      <c r="F25" s="24"/>
      <c r="G25" s="121">
        <f>'Proposed Bonds 2'!K12</f>
        <v>57250</v>
      </c>
      <c r="H25" s="24"/>
      <c r="I25" s="24">
        <f t="shared" si="0"/>
        <v>215225</v>
      </c>
      <c r="J25" s="24"/>
      <c r="K25" s="98">
        <f t="shared" si="1"/>
        <v>369950</v>
      </c>
    </row>
    <row r="26" spans="1:11" ht="14.65" customHeight="1" x14ac:dyDescent="0.25">
      <c r="A26" s="78">
        <v>46569</v>
      </c>
      <c r="B26" s="52"/>
      <c r="C26" s="98">
        <f>'Out. Bonds'!K30</f>
        <v>117050</v>
      </c>
      <c r="D26" s="24"/>
      <c r="E26" s="98">
        <f>'Proposed Bonds 1'!K21</f>
        <v>39100</v>
      </c>
      <c r="F26" s="24"/>
      <c r="G26" s="24">
        <f>'Proposed Bonds 2'!K13</f>
        <v>92250</v>
      </c>
      <c r="H26" s="24"/>
      <c r="I26" s="24">
        <f t="shared" si="0"/>
        <v>248400</v>
      </c>
      <c r="J26" s="24"/>
      <c r="K26" s="98"/>
    </row>
    <row r="27" spans="1:11" ht="14.65" customHeight="1" x14ac:dyDescent="0.25">
      <c r="A27" s="78">
        <v>46753</v>
      </c>
      <c r="B27" s="52"/>
      <c r="C27" s="98">
        <f>'Out. Bonds'!K31</f>
        <v>115625</v>
      </c>
      <c r="D27" s="24"/>
      <c r="E27" s="98">
        <f>'Proposed Bonds 1'!K22</f>
        <v>38700</v>
      </c>
      <c r="F27" s="24"/>
      <c r="G27" s="24">
        <f>'Proposed Bonds 2'!K14</f>
        <v>91375</v>
      </c>
      <c r="H27" s="24"/>
      <c r="I27" s="24">
        <f t="shared" si="0"/>
        <v>245700</v>
      </c>
      <c r="J27" s="24"/>
      <c r="K27" s="98">
        <f t="shared" si="1"/>
        <v>494100</v>
      </c>
    </row>
    <row r="28" spans="1:11" ht="14.65" customHeight="1" x14ac:dyDescent="0.25">
      <c r="A28" s="78">
        <v>46935</v>
      </c>
      <c r="B28" s="52"/>
      <c r="C28" s="98">
        <f>'Out. Bonds'!K32</f>
        <v>119200</v>
      </c>
      <c r="D28" s="24"/>
      <c r="E28" s="98">
        <f>'Proposed Bonds 1'!K23</f>
        <v>38300</v>
      </c>
      <c r="F28" s="24"/>
      <c r="G28" s="24">
        <f>'Proposed Bonds 2'!K15</f>
        <v>90500</v>
      </c>
      <c r="H28" s="24"/>
      <c r="I28" s="24">
        <f t="shared" si="0"/>
        <v>248000</v>
      </c>
      <c r="J28" s="24"/>
      <c r="K28" s="98"/>
    </row>
    <row r="29" spans="1:11" ht="14.65" customHeight="1" x14ac:dyDescent="0.25">
      <c r="A29" s="78">
        <v>47119</v>
      </c>
      <c r="B29" s="52"/>
      <c r="C29" s="98">
        <f>'Out. Bonds'!K33</f>
        <v>117700</v>
      </c>
      <c r="D29" s="24"/>
      <c r="E29" s="98">
        <f>'Proposed Bonds 1'!K24</f>
        <v>42900</v>
      </c>
      <c r="F29" s="24"/>
      <c r="G29" s="24">
        <f>'Proposed Bonds 2'!K16</f>
        <v>89625</v>
      </c>
      <c r="H29" s="24"/>
      <c r="I29" s="24">
        <f t="shared" si="0"/>
        <v>250225</v>
      </c>
      <c r="J29" s="24"/>
      <c r="K29" s="98">
        <f t="shared" si="1"/>
        <v>498225</v>
      </c>
    </row>
    <row r="30" spans="1:11" ht="14.65" customHeight="1" x14ac:dyDescent="0.25">
      <c r="A30" s="78">
        <v>47300</v>
      </c>
      <c r="B30" s="52"/>
      <c r="C30" s="98">
        <f>'Out. Bonds'!K34</f>
        <v>116200</v>
      </c>
      <c r="D30" s="24"/>
      <c r="E30" s="98">
        <f>'Proposed Bonds 1'!K25</f>
        <v>42400</v>
      </c>
      <c r="F30" s="24"/>
      <c r="G30" s="24">
        <f>'Proposed Bonds 2'!K17</f>
        <v>88750</v>
      </c>
      <c r="H30" s="24"/>
      <c r="I30" s="24">
        <f t="shared" si="0"/>
        <v>247350</v>
      </c>
      <c r="J30" s="24"/>
      <c r="K30" s="98"/>
    </row>
    <row r="31" spans="1:11" ht="14.65" customHeight="1" x14ac:dyDescent="0.25">
      <c r="A31" s="78">
        <v>47484</v>
      </c>
      <c r="B31" s="52"/>
      <c r="C31" s="98">
        <f>'Out. Bonds'!K35</f>
        <v>114700</v>
      </c>
      <c r="D31" s="24"/>
      <c r="E31" s="98">
        <f>'Proposed Bonds 1'!K26</f>
        <v>41900</v>
      </c>
      <c r="F31" s="24"/>
      <c r="G31" s="24">
        <f>'Proposed Bonds 2'!K18</f>
        <v>92875</v>
      </c>
      <c r="H31" s="24"/>
      <c r="I31" s="24">
        <f t="shared" si="0"/>
        <v>249475</v>
      </c>
      <c r="J31" s="24"/>
      <c r="K31" s="98">
        <f t="shared" si="1"/>
        <v>496825</v>
      </c>
    </row>
    <row r="32" spans="1:11" ht="14.65" customHeight="1" x14ac:dyDescent="0.25">
      <c r="A32" s="78">
        <v>47665</v>
      </c>
      <c r="B32" s="52"/>
      <c r="C32" s="98">
        <f>'Out. Bonds'!K36</f>
        <v>118200</v>
      </c>
      <c r="D32" s="24"/>
      <c r="E32" s="98">
        <f>'Proposed Bonds 1'!K27</f>
        <v>41400</v>
      </c>
      <c r="F32" s="24"/>
      <c r="G32" s="24">
        <f>'Proposed Bonds 2'!K19</f>
        <v>91875</v>
      </c>
      <c r="H32" s="24"/>
      <c r="I32" s="24">
        <f>SUM(C32:H32)</f>
        <v>251475</v>
      </c>
      <c r="J32" s="24"/>
      <c r="K32" s="98"/>
    </row>
    <row r="33" spans="1:11" ht="14.65" customHeight="1" x14ac:dyDescent="0.25">
      <c r="A33" s="78">
        <v>47849</v>
      </c>
      <c r="B33" s="52"/>
      <c r="C33" s="98">
        <f>'Out. Bonds'!K37</f>
        <v>116625</v>
      </c>
      <c r="D33" s="24"/>
      <c r="E33" s="98">
        <f>'Proposed Bonds 1'!K28</f>
        <v>40900</v>
      </c>
      <c r="F33" s="24"/>
      <c r="G33" s="24">
        <f>'Proposed Bonds 2'!K20</f>
        <v>90875</v>
      </c>
      <c r="H33" s="24"/>
      <c r="I33" s="24">
        <f>SUM(C33:H33)</f>
        <v>248400</v>
      </c>
      <c r="J33" s="24"/>
      <c r="K33" s="98">
        <f t="shared" si="1"/>
        <v>499875</v>
      </c>
    </row>
    <row r="34" spans="1:11" ht="14.65" customHeight="1" x14ac:dyDescent="0.25">
      <c r="A34" s="78">
        <v>48030</v>
      </c>
      <c r="B34" s="52"/>
      <c r="C34" s="98">
        <f>'Out. Bonds'!K38</f>
        <v>115050</v>
      </c>
      <c r="D34" s="24"/>
      <c r="E34" s="98">
        <f>'Proposed Bonds 1'!K29</f>
        <v>40400</v>
      </c>
      <c r="F34" s="24"/>
      <c r="G34" s="24">
        <f>'Proposed Bonds 2'!K21</f>
        <v>89875</v>
      </c>
      <c r="H34" s="24"/>
      <c r="I34" s="24">
        <f>SUM(C34:H34)</f>
        <v>245325</v>
      </c>
      <c r="J34" s="24"/>
      <c r="K34" s="98"/>
    </row>
    <row r="35" spans="1:11" ht="14.65" customHeight="1" x14ac:dyDescent="0.25">
      <c r="A35" s="78">
        <v>48214</v>
      </c>
      <c r="B35" s="52"/>
      <c r="C35" s="98">
        <f>'Out. Bonds'!K39</f>
        <v>118475</v>
      </c>
      <c r="D35" s="24"/>
      <c r="E35" s="98">
        <f>'Proposed Bonds 1'!K30</f>
        <v>39900</v>
      </c>
      <c r="F35" s="24"/>
      <c r="G35" s="24">
        <f>'Proposed Bonds 2'!K22</f>
        <v>88875</v>
      </c>
      <c r="H35" s="24"/>
      <c r="I35" s="24">
        <f>SUM(C35:H35)</f>
        <v>247250</v>
      </c>
      <c r="J35" s="24"/>
      <c r="K35" s="98">
        <f t="shared" si="1"/>
        <v>492575</v>
      </c>
    </row>
    <row r="36" spans="1:11" ht="14.65" customHeight="1" x14ac:dyDescent="0.25">
      <c r="A36" s="78">
        <v>48396</v>
      </c>
      <c r="B36" s="52"/>
      <c r="C36" s="98">
        <f>'Out. Bonds'!K40</f>
        <v>116825</v>
      </c>
      <c r="D36" s="24"/>
      <c r="E36" s="98">
        <f>'Proposed Bonds 1'!K31</f>
        <v>39400</v>
      </c>
      <c r="F36" s="24"/>
      <c r="G36" s="24">
        <f>'Proposed Bonds 2'!K23</f>
        <v>92875</v>
      </c>
      <c r="H36" s="24"/>
      <c r="I36" s="24">
        <f>SUM(C36:H36)</f>
        <v>249100</v>
      </c>
      <c r="J36" s="24"/>
      <c r="K36" s="98"/>
    </row>
    <row r="37" spans="1:11" ht="14.65" customHeight="1" x14ac:dyDescent="0.25">
      <c r="A37" s="78">
        <v>48580</v>
      </c>
      <c r="B37" s="52"/>
      <c r="C37" s="98">
        <f>'Out. Bonds'!K41</f>
        <v>115175</v>
      </c>
      <c r="D37" s="24"/>
      <c r="E37" s="98">
        <f>'Proposed Bonds 1'!K32</f>
        <v>38900</v>
      </c>
      <c r="F37" s="24"/>
      <c r="G37" s="24">
        <f>'Proposed Bonds 2'!K24</f>
        <v>91750</v>
      </c>
      <c r="H37" s="24"/>
      <c r="I37" s="24">
        <f t="shared" si="0"/>
        <v>245825</v>
      </c>
      <c r="J37" s="24"/>
      <c r="K37" s="98">
        <f t="shared" si="1"/>
        <v>494925</v>
      </c>
    </row>
    <row r="38" spans="1:11" ht="14.65" customHeight="1" x14ac:dyDescent="0.25">
      <c r="A38" s="78">
        <v>48761</v>
      </c>
      <c r="B38" s="52"/>
      <c r="C38" s="98">
        <f>'Out. Bonds'!K42</f>
        <v>118525</v>
      </c>
      <c r="D38" s="24"/>
      <c r="E38" s="98">
        <f>'Proposed Bonds 1'!K33</f>
        <v>38400</v>
      </c>
      <c r="F38" s="24"/>
      <c r="G38" s="24">
        <f>'Proposed Bonds 2'!K25</f>
        <v>90625</v>
      </c>
      <c r="H38" s="24"/>
      <c r="I38" s="24">
        <f t="shared" si="0"/>
        <v>247550</v>
      </c>
      <c r="J38" s="24"/>
      <c r="K38" s="98"/>
    </row>
    <row r="39" spans="1:11" ht="14.65" customHeight="1" x14ac:dyDescent="0.25">
      <c r="A39" s="78">
        <v>48945</v>
      </c>
      <c r="B39" s="52"/>
      <c r="C39" s="98">
        <f>'Out. Bonds'!K43</f>
        <v>121800</v>
      </c>
      <c r="D39" s="24"/>
      <c r="E39" s="98">
        <f>'Proposed Bonds 1'!K34</f>
        <v>42900</v>
      </c>
      <c r="F39" s="24"/>
      <c r="G39" s="24">
        <f>'Proposed Bonds 2'!K26</f>
        <v>89500</v>
      </c>
      <c r="H39" s="24"/>
      <c r="I39" s="24">
        <f t="shared" si="0"/>
        <v>254200</v>
      </c>
      <c r="J39" s="24"/>
      <c r="K39" s="98">
        <f t="shared" si="1"/>
        <v>501750</v>
      </c>
    </row>
    <row r="40" spans="1:11" ht="14.65" customHeight="1" x14ac:dyDescent="0.25">
      <c r="A40" s="78">
        <v>49126</v>
      </c>
      <c r="B40" s="52"/>
      <c r="C40" s="98"/>
      <c r="D40" s="24"/>
      <c r="E40" s="98">
        <f>'Proposed Bonds 1'!K35</f>
        <v>42300</v>
      </c>
      <c r="F40" s="24"/>
      <c r="G40" s="24">
        <f>'Proposed Bonds 2'!K27</f>
        <v>93375</v>
      </c>
      <c r="H40" s="24"/>
      <c r="I40" s="24">
        <f t="shared" si="0"/>
        <v>135675</v>
      </c>
      <c r="J40" s="24"/>
      <c r="K40" s="98"/>
    </row>
    <row r="41" spans="1:11" ht="14.65" customHeight="1" x14ac:dyDescent="0.25">
      <c r="A41" s="78">
        <v>49310</v>
      </c>
      <c r="B41" s="52"/>
      <c r="C41" s="98"/>
      <c r="D41" s="24"/>
      <c r="E41" s="98">
        <f>'Proposed Bonds 1'!K36</f>
        <v>41700</v>
      </c>
      <c r="F41" s="24"/>
      <c r="G41" s="24">
        <f>'Proposed Bonds 2'!K28</f>
        <v>92125</v>
      </c>
      <c r="H41" s="24"/>
      <c r="I41" s="24">
        <f t="shared" si="0"/>
        <v>133825</v>
      </c>
      <c r="J41" s="24"/>
      <c r="K41" s="98">
        <f t="shared" si="1"/>
        <v>269500</v>
      </c>
    </row>
    <row r="42" spans="1:11" ht="14.65" customHeight="1" x14ac:dyDescent="0.25">
      <c r="A42" s="78">
        <v>49491</v>
      </c>
      <c r="B42" s="52"/>
      <c r="C42" s="98"/>
      <c r="D42" s="24"/>
      <c r="E42" s="98">
        <f>'Proposed Bonds 1'!K37</f>
        <v>41100</v>
      </c>
      <c r="F42" s="24"/>
      <c r="G42" s="24">
        <f>'Proposed Bonds 2'!K29</f>
        <v>90875</v>
      </c>
      <c r="H42" s="24"/>
      <c r="I42" s="24">
        <f t="shared" si="0"/>
        <v>131975</v>
      </c>
      <c r="J42" s="24"/>
      <c r="K42" s="98"/>
    </row>
    <row r="43" spans="1:11" ht="14.65" customHeight="1" x14ac:dyDescent="0.25">
      <c r="A43" s="78">
        <v>49675</v>
      </c>
      <c r="B43" s="52"/>
      <c r="C43" s="98"/>
      <c r="D43" s="24"/>
      <c r="E43" s="98">
        <f>'Proposed Bonds 1'!K38</f>
        <v>40500</v>
      </c>
      <c r="F43" s="24"/>
      <c r="G43" s="24">
        <f>'Proposed Bonds 2'!K30</f>
        <v>89625</v>
      </c>
      <c r="H43" s="24"/>
      <c r="I43" s="24">
        <f t="shared" si="0"/>
        <v>130125</v>
      </c>
      <c r="J43" s="24"/>
      <c r="K43" s="98">
        <f t="shared" si="1"/>
        <v>262100</v>
      </c>
    </row>
    <row r="44" spans="1:11" ht="14.65" customHeight="1" x14ac:dyDescent="0.25">
      <c r="A44" s="78">
        <v>49857</v>
      </c>
      <c r="B44" s="52"/>
      <c r="C44" s="98"/>
      <c r="D44" s="24"/>
      <c r="E44" s="98">
        <f>'Proposed Bonds 1'!K39</f>
        <v>39900</v>
      </c>
      <c r="F44" s="24"/>
      <c r="G44" s="24">
        <f>'Proposed Bonds 2'!K31</f>
        <v>93375</v>
      </c>
      <c r="H44" s="24"/>
      <c r="I44" s="24">
        <f t="shared" si="0"/>
        <v>133275</v>
      </c>
      <c r="J44" s="24"/>
      <c r="K44" s="98"/>
    </row>
    <row r="45" spans="1:11" s="96" customFormat="1" ht="14.65" customHeight="1" x14ac:dyDescent="0.25">
      <c r="A45" s="78">
        <v>50041</v>
      </c>
      <c r="B45" s="52"/>
      <c r="C45" s="98"/>
      <c r="D45" s="24"/>
      <c r="E45" s="98">
        <f>'Proposed Bonds 1'!K40</f>
        <v>39300</v>
      </c>
      <c r="F45" s="24"/>
      <c r="G45" s="24">
        <f>'Proposed Bonds 2'!K32</f>
        <v>92000</v>
      </c>
      <c r="H45" s="24"/>
      <c r="I45" s="24">
        <f t="shared" si="0"/>
        <v>131300</v>
      </c>
      <c r="J45" s="24"/>
      <c r="K45" s="98">
        <f t="shared" si="1"/>
        <v>264575</v>
      </c>
    </row>
    <row r="46" spans="1:11" s="96" customFormat="1" ht="14.65" customHeight="1" x14ac:dyDescent="0.25">
      <c r="A46" s="78">
        <v>50222</v>
      </c>
      <c r="B46" s="52"/>
      <c r="C46" s="98"/>
      <c r="D46" s="24"/>
      <c r="E46" s="98">
        <f>'Proposed Bonds 1'!K41</f>
        <v>38700</v>
      </c>
      <c r="F46" s="24"/>
      <c r="G46" s="24">
        <f>'Proposed Bonds 2'!K33</f>
        <v>90625</v>
      </c>
      <c r="H46" s="24"/>
      <c r="I46" s="24">
        <f t="shared" si="0"/>
        <v>129325</v>
      </c>
      <c r="J46" s="24"/>
      <c r="K46" s="98"/>
    </row>
    <row r="47" spans="1:11" s="96" customFormat="1" ht="14.65" customHeight="1" x14ac:dyDescent="0.25">
      <c r="A47" s="78">
        <v>50406</v>
      </c>
      <c r="B47" s="52"/>
      <c r="C47" s="98"/>
      <c r="D47" s="24"/>
      <c r="E47" s="98">
        <f>'Proposed Bonds 1'!K42</f>
        <v>43100</v>
      </c>
      <c r="F47" s="24"/>
      <c r="G47" s="24">
        <f>'Proposed Bonds 2'!K34</f>
        <v>89250</v>
      </c>
      <c r="H47" s="24"/>
      <c r="I47" s="24">
        <f>SUM(C47:H47)</f>
        <v>132350</v>
      </c>
      <c r="J47" s="24"/>
      <c r="K47" s="98">
        <f t="shared" si="1"/>
        <v>261675</v>
      </c>
    </row>
    <row r="48" spans="1:11" s="96" customFormat="1" ht="14.65" customHeight="1" x14ac:dyDescent="0.25">
      <c r="A48" s="78">
        <v>50587</v>
      </c>
      <c r="B48" s="52"/>
      <c r="C48" s="98"/>
      <c r="D48" s="24"/>
      <c r="E48" s="98">
        <f>'Proposed Bonds 1'!K43</f>
        <v>42400</v>
      </c>
      <c r="F48" s="24"/>
      <c r="G48" s="24">
        <f>'Proposed Bonds 2'!K35</f>
        <v>92875</v>
      </c>
      <c r="H48" s="24"/>
      <c r="I48" s="24">
        <f t="shared" si="0"/>
        <v>135275</v>
      </c>
      <c r="J48" s="24"/>
      <c r="K48" s="98"/>
    </row>
    <row r="49" spans="1:13" s="96" customFormat="1" ht="14.65" customHeight="1" x14ac:dyDescent="0.25">
      <c r="A49" s="78">
        <v>50771</v>
      </c>
      <c r="B49" s="52"/>
      <c r="C49" s="98"/>
      <c r="D49" s="24"/>
      <c r="E49" s="98">
        <f>'Proposed Bonds 1'!K44</f>
        <v>41700</v>
      </c>
      <c r="F49" s="24"/>
      <c r="G49" s="24">
        <f>'Proposed Bonds 2'!K36</f>
        <v>91375</v>
      </c>
      <c r="H49" s="24"/>
      <c r="I49" s="24">
        <f t="shared" si="0"/>
        <v>133075</v>
      </c>
      <c r="J49" s="24"/>
      <c r="K49" s="98">
        <f t="shared" si="1"/>
        <v>268350</v>
      </c>
    </row>
    <row r="50" spans="1:13" s="96" customFormat="1" ht="14.65" customHeight="1" x14ac:dyDescent="0.25">
      <c r="A50" s="78">
        <v>50952</v>
      </c>
      <c r="B50" s="52"/>
      <c r="C50" s="98"/>
      <c r="D50" s="24"/>
      <c r="E50" s="98">
        <f>'Proposed Bonds 1'!K45</f>
        <v>41000</v>
      </c>
      <c r="F50" s="24"/>
      <c r="G50" s="24">
        <f>'Proposed Bonds 2'!K37</f>
        <v>89875</v>
      </c>
      <c r="H50" s="24"/>
      <c r="I50" s="24">
        <f t="shared" si="0"/>
        <v>130875</v>
      </c>
      <c r="J50" s="24"/>
      <c r="K50" s="98"/>
    </row>
    <row r="51" spans="1:13" s="96" customFormat="1" ht="14.65" customHeight="1" x14ac:dyDescent="0.25">
      <c r="A51" s="78">
        <v>51136</v>
      </c>
      <c r="B51" s="52"/>
      <c r="C51" s="98"/>
      <c r="D51" s="24"/>
      <c r="E51" s="98">
        <f>'Proposed Bonds 1'!K46</f>
        <v>40300</v>
      </c>
      <c r="F51" s="24"/>
      <c r="G51" s="24">
        <f>'Proposed Bonds 2'!K38</f>
        <v>93375</v>
      </c>
      <c r="H51" s="24"/>
      <c r="I51" s="24">
        <f t="shared" si="0"/>
        <v>133675</v>
      </c>
      <c r="J51" s="24"/>
      <c r="K51" s="98">
        <f t="shared" si="1"/>
        <v>264550</v>
      </c>
    </row>
    <row r="52" spans="1:13" s="96" customFormat="1" ht="14.65" customHeight="1" x14ac:dyDescent="0.25">
      <c r="A52" s="78">
        <v>51318</v>
      </c>
      <c r="B52" s="52"/>
      <c r="C52" s="98"/>
      <c r="D52" s="24"/>
      <c r="E52" s="98">
        <f>'Proposed Bonds 1'!K47</f>
        <v>39600</v>
      </c>
      <c r="F52" s="24"/>
      <c r="G52" s="24">
        <f>'Proposed Bonds 2'!K39</f>
        <v>91750</v>
      </c>
      <c r="H52" s="24"/>
      <c r="I52" s="24">
        <f t="shared" si="0"/>
        <v>131350</v>
      </c>
      <c r="J52" s="24"/>
      <c r="K52" s="98"/>
    </row>
    <row r="53" spans="1:13" s="96" customFormat="1" ht="14.65" customHeight="1" x14ac:dyDescent="0.25">
      <c r="A53" s="78">
        <v>51502</v>
      </c>
      <c r="B53" s="52"/>
      <c r="C53" s="98"/>
      <c r="D53" s="24"/>
      <c r="E53" s="98">
        <f>'Proposed Bonds 1'!K48</f>
        <v>38900</v>
      </c>
      <c r="F53" s="24"/>
      <c r="G53" s="24">
        <f>'Proposed Bonds 2'!K40</f>
        <v>90125</v>
      </c>
      <c r="H53" s="24"/>
      <c r="I53" s="24">
        <f t="shared" si="0"/>
        <v>129025</v>
      </c>
      <c r="J53" s="24"/>
      <c r="K53" s="98">
        <f t="shared" si="1"/>
        <v>260375</v>
      </c>
    </row>
    <row r="54" spans="1:13" s="96" customFormat="1" ht="14.65" customHeight="1" x14ac:dyDescent="0.25">
      <c r="A54" s="78">
        <v>51683</v>
      </c>
      <c r="B54" s="52"/>
      <c r="C54" s="98"/>
      <c r="D54" s="24"/>
      <c r="E54" s="98">
        <f>'Proposed Bonds 1'!K49</f>
        <v>43200</v>
      </c>
      <c r="F54" s="24"/>
      <c r="G54" s="24">
        <f>'Proposed Bonds 2'!K41</f>
        <v>93500</v>
      </c>
      <c r="H54" s="24"/>
      <c r="I54" s="24">
        <f t="shared" ref="I54:I63" si="2">SUM(C54:H54)</f>
        <v>136700</v>
      </c>
      <c r="J54" s="24"/>
      <c r="K54" s="98"/>
    </row>
    <row r="55" spans="1:13" s="96" customFormat="1" ht="14.65" customHeight="1" x14ac:dyDescent="0.25">
      <c r="A55" s="78">
        <v>51867</v>
      </c>
      <c r="B55" s="52"/>
      <c r="C55" s="98"/>
      <c r="D55" s="24"/>
      <c r="E55" s="98">
        <f>'Proposed Bonds 1'!K50</f>
        <v>42400</v>
      </c>
      <c r="F55" s="24"/>
      <c r="G55" s="24">
        <f>'Proposed Bonds 2'!K42</f>
        <v>91750</v>
      </c>
      <c r="H55" s="24"/>
      <c r="I55" s="24">
        <f t="shared" si="2"/>
        <v>134150</v>
      </c>
      <c r="J55" s="24"/>
      <c r="K55" s="98">
        <f t="shared" si="1"/>
        <v>270850</v>
      </c>
    </row>
    <row r="56" spans="1:13" s="96" customFormat="1" ht="14.65" customHeight="1" x14ac:dyDescent="0.25">
      <c r="A56" s="78">
        <v>52048</v>
      </c>
      <c r="B56" s="52"/>
      <c r="C56" s="98"/>
      <c r="D56" s="24"/>
      <c r="E56" s="98">
        <f>'Proposed Bonds 1'!K51</f>
        <v>41600</v>
      </c>
      <c r="F56" s="24"/>
      <c r="G56" s="24">
        <f>'Proposed Bonds 2'!K43</f>
        <v>90000</v>
      </c>
      <c r="H56" s="24"/>
      <c r="I56" s="24">
        <f t="shared" si="2"/>
        <v>131600</v>
      </c>
      <c r="J56" s="24"/>
      <c r="K56" s="98"/>
    </row>
    <row r="57" spans="1:13" s="96" customFormat="1" ht="14.65" customHeight="1" x14ac:dyDescent="0.25">
      <c r="A57" s="78">
        <v>52232</v>
      </c>
      <c r="B57" s="52"/>
      <c r="C57" s="98"/>
      <c r="D57" s="24"/>
      <c r="E57" s="98">
        <f>'Proposed Bonds 1'!K52</f>
        <v>40800</v>
      </c>
      <c r="F57" s="24"/>
      <c r="G57" s="24">
        <f>'Proposed Bonds 2'!K44</f>
        <v>93250</v>
      </c>
      <c r="H57" s="24"/>
      <c r="I57" s="24">
        <f t="shared" si="2"/>
        <v>134050</v>
      </c>
      <c r="J57" s="24"/>
      <c r="K57" s="98">
        <f t="shared" si="1"/>
        <v>265650</v>
      </c>
    </row>
    <row r="58" spans="1:13" s="96" customFormat="1" ht="14.65" customHeight="1" x14ac:dyDescent="0.25">
      <c r="A58" s="78">
        <v>52413</v>
      </c>
      <c r="B58" s="52"/>
      <c r="C58" s="98"/>
      <c r="D58" s="24"/>
      <c r="E58" s="98"/>
      <c r="F58" s="24"/>
      <c r="G58" s="24">
        <f>'Proposed Bonds 2'!K45</f>
        <v>91375</v>
      </c>
      <c r="H58" s="24"/>
      <c r="I58" s="24">
        <f t="shared" si="2"/>
        <v>91375</v>
      </c>
      <c r="J58" s="24"/>
      <c r="K58" s="98"/>
    </row>
    <row r="59" spans="1:13" s="96" customFormat="1" ht="14.65" customHeight="1" x14ac:dyDescent="0.25">
      <c r="A59" s="78">
        <v>52597</v>
      </c>
      <c r="B59" s="52"/>
      <c r="C59" s="98"/>
      <c r="D59" s="24"/>
      <c r="E59" s="98"/>
      <c r="F59" s="24"/>
      <c r="G59" s="24">
        <f>'Proposed Bonds 2'!K46</f>
        <v>89500</v>
      </c>
      <c r="H59" s="24"/>
      <c r="I59" s="24">
        <f t="shared" si="2"/>
        <v>89500</v>
      </c>
      <c r="J59" s="24"/>
      <c r="K59" s="98">
        <f t="shared" si="1"/>
        <v>180875</v>
      </c>
    </row>
    <row r="60" spans="1:13" s="96" customFormat="1" ht="14.65" customHeight="1" x14ac:dyDescent="0.25">
      <c r="A60" s="78">
        <v>52779</v>
      </c>
      <c r="B60" s="52"/>
      <c r="C60" s="98"/>
      <c r="D60" s="24"/>
      <c r="E60" s="98"/>
      <c r="F60" s="24"/>
      <c r="G60" s="24">
        <f>'Proposed Bonds 2'!K47</f>
        <v>92625</v>
      </c>
      <c r="H60" s="24"/>
      <c r="I60" s="24">
        <f t="shared" si="2"/>
        <v>92625</v>
      </c>
      <c r="J60" s="24"/>
      <c r="K60" s="98"/>
    </row>
    <row r="61" spans="1:13" s="96" customFormat="1" ht="14.65" customHeight="1" x14ac:dyDescent="0.25">
      <c r="A61" s="78">
        <v>52963</v>
      </c>
      <c r="B61" s="52"/>
      <c r="C61" s="98"/>
      <c r="D61" s="24"/>
      <c r="E61" s="98"/>
      <c r="F61" s="24"/>
      <c r="G61" s="24">
        <f>'Proposed Bonds 2'!K48</f>
        <v>90625</v>
      </c>
      <c r="H61" s="24"/>
      <c r="I61" s="24">
        <f t="shared" si="2"/>
        <v>90625</v>
      </c>
      <c r="J61" s="24"/>
      <c r="K61" s="98">
        <f t="shared" si="1"/>
        <v>183250</v>
      </c>
    </row>
    <row r="62" spans="1:13" s="96" customFormat="1" ht="14.65" customHeight="1" x14ac:dyDescent="0.25">
      <c r="A62" s="78">
        <v>53144</v>
      </c>
      <c r="B62" s="52"/>
      <c r="C62" s="98"/>
      <c r="D62" s="24"/>
      <c r="E62" s="98"/>
      <c r="F62" s="24"/>
      <c r="G62" s="24">
        <f>'Proposed Bonds 2'!K49</f>
        <v>93625</v>
      </c>
      <c r="H62" s="24"/>
      <c r="I62" s="24">
        <f t="shared" si="2"/>
        <v>93625</v>
      </c>
      <c r="J62" s="24"/>
      <c r="K62" s="98"/>
      <c r="M62" s="96">
        <v>6500000</v>
      </c>
    </row>
    <row r="63" spans="1:13" s="96" customFormat="1" ht="14.65" customHeight="1" x14ac:dyDescent="0.25">
      <c r="A63" s="78">
        <v>53328</v>
      </c>
      <c r="B63" s="52"/>
      <c r="C63" s="98"/>
      <c r="D63" s="24"/>
      <c r="E63" s="98"/>
      <c r="F63" s="24"/>
      <c r="G63" s="24">
        <f>'Proposed Bonds 2'!K50</f>
        <v>91500</v>
      </c>
      <c r="H63" s="24"/>
      <c r="I63" s="269">
        <f t="shared" si="2"/>
        <v>91500</v>
      </c>
      <c r="J63" s="269"/>
      <c r="K63" s="98">
        <f t="shared" si="1"/>
        <v>185125</v>
      </c>
    </row>
    <row r="64" spans="1:13" s="96" customFormat="1" ht="14.65" customHeight="1" x14ac:dyDescent="0.25">
      <c r="A64" s="78">
        <v>53509</v>
      </c>
      <c r="B64" s="52"/>
      <c r="C64" s="98"/>
      <c r="D64" s="24"/>
      <c r="E64" s="98"/>
      <c r="F64" s="24"/>
      <c r="G64" s="24">
        <f>'Proposed Bonds 2'!K51</f>
        <v>89375</v>
      </c>
      <c r="H64" s="24"/>
      <c r="I64" s="269">
        <f t="shared" ref="I64" si="3">SUM(C64:H64)</f>
        <v>89375</v>
      </c>
      <c r="J64" s="24"/>
      <c r="K64" s="98"/>
    </row>
    <row r="65" spans="1:14" s="96" customFormat="1" ht="14.65" customHeight="1" x14ac:dyDescent="0.25">
      <c r="A65" s="78">
        <v>53693</v>
      </c>
      <c r="B65" s="52"/>
      <c r="C65" s="98"/>
      <c r="D65" s="24"/>
      <c r="E65" s="98"/>
      <c r="F65" s="24"/>
      <c r="G65" s="24">
        <f>'Proposed Bonds 2'!K52</f>
        <v>92250</v>
      </c>
      <c r="H65" s="24"/>
      <c r="I65" s="269">
        <f>SUM(C65:H65)</f>
        <v>92250</v>
      </c>
      <c r="J65" s="24"/>
      <c r="K65" s="98">
        <f t="shared" si="1"/>
        <v>181625</v>
      </c>
    </row>
    <row r="66" spans="1:14" s="44" customFormat="1" ht="14.65" customHeight="1" x14ac:dyDescent="0.25">
      <c r="A66" s="78"/>
      <c r="B66" s="52"/>
      <c r="C66" s="66"/>
      <c r="D66" s="52"/>
      <c r="E66" s="66"/>
      <c r="F66" s="52"/>
      <c r="G66" s="66"/>
      <c r="H66" s="52"/>
      <c r="I66" s="66"/>
      <c r="J66" s="52"/>
      <c r="K66" s="66"/>
      <c r="M66" s="44">
        <f>M62*0.1</f>
        <v>650000</v>
      </c>
    </row>
    <row r="67" spans="1:14" ht="14.65" customHeight="1" thickBot="1" x14ac:dyDescent="0.3">
      <c r="A67" s="23" t="s">
        <v>46</v>
      </c>
      <c r="B67" s="52"/>
      <c r="C67" s="176">
        <f>SUM(C8:C63)</f>
        <v>3743850</v>
      </c>
      <c r="D67" s="19"/>
      <c r="E67" s="176">
        <f>SUM(E8:E63)</f>
        <v>1653500</v>
      </c>
      <c r="F67" s="19"/>
      <c r="G67" s="176">
        <f>SUM(G8:G65)</f>
        <v>3708875</v>
      </c>
      <c r="H67" s="19"/>
      <c r="I67" s="176">
        <f>SUM(I8:I65)</f>
        <v>9106225</v>
      </c>
      <c r="J67" s="19"/>
      <c r="K67" s="176">
        <f>SUM(K8:K66)</f>
        <v>9106225</v>
      </c>
    </row>
    <row r="68" spans="1:14" ht="15.6" customHeight="1" thickTop="1" x14ac:dyDescent="0.25">
      <c r="A68" s="4"/>
      <c r="B68" s="91"/>
      <c r="C68" s="115"/>
      <c r="D68" s="4"/>
      <c r="E68" s="115"/>
      <c r="F68" s="4"/>
      <c r="G68" s="115"/>
      <c r="H68" s="4"/>
      <c r="I68" s="115"/>
      <c r="J68" s="4"/>
      <c r="K68" s="115"/>
      <c r="M68" s="253">
        <f>AVERAGE(K8:K63)*1.25</f>
        <v>398419.64285714284</v>
      </c>
      <c r="N68" s="253">
        <f>M68/5</f>
        <v>79683.928571428565</v>
      </c>
    </row>
    <row r="69" spans="1:14" s="96" customFormat="1" ht="19.149999999999999" customHeight="1" x14ac:dyDescent="0.25">
      <c r="A69" s="91"/>
      <c r="B69" s="91"/>
      <c r="C69" s="91"/>
      <c r="D69" s="91"/>
      <c r="E69" s="115"/>
      <c r="F69" s="91"/>
      <c r="G69" s="115"/>
      <c r="H69" s="91"/>
      <c r="I69" s="115"/>
      <c r="J69" s="91"/>
      <c r="K69" s="115"/>
    </row>
    <row r="70" spans="1:14" ht="14.65" customHeight="1" x14ac:dyDescent="0.25">
      <c r="A70" s="45">
        <f>'Proposed Bonds 2'!A57+1</f>
        <v>7</v>
      </c>
      <c r="B70" s="91"/>
      <c r="C70" s="45"/>
      <c r="D70" s="4"/>
      <c r="E70" s="115"/>
      <c r="F70" s="4"/>
      <c r="G70" s="115"/>
      <c r="H70" s="4"/>
      <c r="I70" s="115"/>
      <c r="J70" s="4"/>
      <c r="K70" s="115"/>
      <c r="M70" s="253">
        <f>MAX(K8:K63)</f>
        <v>501750</v>
      </c>
    </row>
    <row r="71" spans="1:14" x14ac:dyDescent="0.25">
      <c r="A71" s="19"/>
      <c r="B71" s="91"/>
      <c r="C71" s="52"/>
      <c r="D71" s="4"/>
      <c r="E71" s="154"/>
      <c r="F71" s="4"/>
      <c r="G71" s="154"/>
      <c r="H71" s="4"/>
      <c r="I71" s="19"/>
      <c r="J71" s="4"/>
      <c r="K71" s="19"/>
    </row>
    <row r="72" spans="1:14" x14ac:dyDescent="0.25">
      <c r="A72" s="4"/>
      <c r="B72" s="91"/>
      <c r="C72" s="91"/>
      <c r="D72" s="4"/>
      <c r="E72" s="83"/>
      <c r="F72" s="4"/>
      <c r="G72" s="83"/>
      <c r="H72" s="4"/>
      <c r="I72" s="4"/>
      <c r="J72" s="4"/>
      <c r="K72" s="4"/>
    </row>
    <row r="73" spans="1:14" x14ac:dyDescent="0.25">
      <c r="B73" s="91"/>
      <c r="D73" s="4"/>
      <c r="E73" s="14"/>
      <c r="F73" s="4"/>
      <c r="G73" s="14"/>
      <c r="H73" s="4"/>
      <c r="I73" s="14"/>
      <c r="J73" s="4"/>
    </row>
    <row r="74" spans="1:14" x14ac:dyDescent="0.25">
      <c r="B74" s="91"/>
      <c r="D74" s="4"/>
      <c r="E74" s="14"/>
      <c r="F74" s="4"/>
      <c r="G74" s="14"/>
      <c r="H74" s="4"/>
      <c r="I74" s="14"/>
      <c r="J74" s="4"/>
    </row>
    <row r="75" spans="1:14" x14ac:dyDescent="0.25">
      <c r="B75" s="91"/>
      <c r="D75" s="4"/>
      <c r="F75" s="4"/>
      <c r="H75" s="4"/>
      <c r="J75" s="4"/>
    </row>
    <row r="76" spans="1:14" x14ac:dyDescent="0.25">
      <c r="E76" s="14"/>
      <c r="G76" s="14"/>
      <c r="I76" s="14"/>
    </row>
    <row r="77" spans="1:14" x14ac:dyDescent="0.25">
      <c r="B77" s="91"/>
      <c r="D77" s="4"/>
      <c r="F77" s="4"/>
      <c r="H77" s="4"/>
      <c r="J77" s="4"/>
    </row>
    <row r="78" spans="1:14" x14ac:dyDescent="0.25">
      <c r="B78" s="91"/>
      <c r="D78" s="4"/>
      <c r="F78" s="4"/>
      <c r="H78" s="4"/>
      <c r="J78" s="4"/>
    </row>
    <row r="79" spans="1:14" x14ac:dyDescent="0.25">
      <c r="B79" s="52"/>
      <c r="D79" s="19"/>
      <c r="F79" s="19"/>
      <c r="H79" s="19"/>
      <c r="J79" s="19"/>
    </row>
    <row r="80" spans="1:14" x14ac:dyDescent="0.25">
      <c r="B80" s="91"/>
      <c r="D80" s="4"/>
      <c r="F80" s="4"/>
      <c r="H80" s="4"/>
      <c r="J80" s="4"/>
    </row>
  </sheetData>
  <phoneticPr fontId="0" type="noConversion"/>
  <printOptions horizontalCentered="1"/>
  <pageMargins left="0.7" right="0.7" top="0.75" bottom="0.5" header="0.3" footer="0.3"/>
  <pageSetup scale="68" orientation="portrait" horizontalDpi="4294967295" verticalDpi="4294967295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9"/>
  <sheetViews>
    <sheetView view="pageBreakPreview" topLeftCell="A17" zoomScaleNormal="100" zoomScaleSheetLayoutView="100" workbookViewId="0">
      <selection activeCell="A30" sqref="A30"/>
    </sheetView>
  </sheetViews>
  <sheetFormatPr defaultColWidth="9.140625" defaultRowHeight="15.75" x14ac:dyDescent="0.25"/>
  <cols>
    <col min="1" max="1" width="35.28515625" style="1" customWidth="1"/>
    <col min="2" max="2" width="1.7109375" style="1" customWidth="1"/>
    <col min="3" max="3" width="14.42578125" style="1" customWidth="1"/>
    <col min="4" max="4" width="1.7109375" style="1" customWidth="1"/>
    <col min="5" max="5" width="14.28515625" style="1" customWidth="1"/>
    <col min="6" max="6" width="1.7109375" style="1" customWidth="1"/>
    <col min="7" max="7" width="4.5703125" style="1" bestFit="1" customWidth="1"/>
    <col min="8" max="8" width="1.7109375" style="1" customWidth="1"/>
    <col min="9" max="9" width="14.5703125" style="1" customWidth="1"/>
    <col min="10" max="16384" width="9.140625" style="1"/>
  </cols>
  <sheetData>
    <row r="1" spans="1:15" x14ac:dyDescent="0.25">
      <c r="A1" s="114" t="str">
        <f>'Cap Plan P1'!A1</f>
        <v>ANYTOWN WATER UTILITY/SEWAGE WORKS</v>
      </c>
      <c r="B1" s="5"/>
      <c r="C1" s="5"/>
      <c r="D1" s="5"/>
      <c r="E1" s="5"/>
      <c r="F1" s="5"/>
      <c r="G1" s="5"/>
      <c r="H1" s="5"/>
      <c r="I1" s="5"/>
    </row>
    <row r="2" spans="1:15" x14ac:dyDescent="0.25">
      <c r="A2" s="103"/>
    </row>
    <row r="3" spans="1:15" x14ac:dyDescent="0.25">
      <c r="A3" s="6" t="s">
        <v>96</v>
      </c>
      <c r="B3" s="6"/>
      <c r="C3" s="6"/>
      <c r="D3" s="6"/>
      <c r="E3" s="6"/>
      <c r="F3" s="6"/>
      <c r="G3" s="6"/>
      <c r="H3" s="6"/>
      <c r="I3" s="4"/>
    </row>
    <row r="4" spans="1:15" x14ac:dyDescent="0.25">
      <c r="A4" s="141"/>
      <c r="B4" s="100"/>
      <c r="C4" s="100"/>
      <c r="D4" s="100"/>
      <c r="E4" s="100"/>
      <c r="F4" s="100"/>
      <c r="G4" s="100"/>
      <c r="H4" s="100"/>
      <c r="I4" s="100"/>
    </row>
    <row r="6" spans="1:15" x14ac:dyDescent="0.25">
      <c r="I6" s="128" t="s">
        <v>94</v>
      </c>
    </row>
    <row r="7" spans="1:15" x14ac:dyDescent="0.25">
      <c r="C7" s="8" t="s">
        <v>47</v>
      </c>
      <c r="D7" s="84"/>
      <c r="E7" s="8" t="s">
        <v>12</v>
      </c>
      <c r="F7" s="84"/>
      <c r="G7" s="8" t="s">
        <v>28</v>
      </c>
      <c r="H7" s="84"/>
      <c r="I7" s="8">
        <v>2018</v>
      </c>
    </row>
    <row r="8" spans="1:15" x14ac:dyDescent="0.25">
      <c r="A8" s="1" t="s">
        <v>97</v>
      </c>
    </row>
    <row r="9" spans="1:15" x14ac:dyDescent="0.25">
      <c r="A9" s="145" t="s">
        <v>2</v>
      </c>
      <c r="C9" s="142">
        <v>350000</v>
      </c>
      <c r="D9" s="41"/>
      <c r="E9" s="46">
        <v>35000</v>
      </c>
      <c r="G9" s="122">
        <v>-1</v>
      </c>
      <c r="H9" s="123"/>
      <c r="I9" s="142">
        <f>C9+E9</f>
        <v>385000</v>
      </c>
    </row>
    <row r="10" spans="1:15" x14ac:dyDescent="0.25">
      <c r="A10" s="145" t="s">
        <v>74</v>
      </c>
      <c r="C10" s="150">
        <v>125000</v>
      </c>
      <c r="D10" s="41"/>
      <c r="E10" s="263">
        <v>12500</v>
      </c>
      <c r="G10" s="122">
        <v>-2</v>
      </c>
      <c r="H10" s="123"/>
      <c r="I10" s="94">
        <f>C10+E10</f>
        <v>137500</v>
      </c>
      <c r="K10" s="1">
        <f>C10/C9</f>
        <v>0.35714285714285715</v>
      </c>
      <c r="O10" s="96">
        <f>I10/I9</f>
        <v>0.35714285714285715</v>
      </c>
    </row>
    <row r="11" spans="1:15" s="96" customFormat="1" x14ac:dyDescent="0.25">
      <c r="A11" s="145" t="s">
        <v>172</v>
      </c>
      <c r="C11" s="153">
        <v>100000</v>
      </c>
      <c r="D11" s="126"/>
      <c r="E11" s="263"/>
      <c r="G11" s="122"/>
      <c r="H11" s="123"/>
      <c r="I11" s="153">
        <f>C11</f>
        <v>100000</v>
      </c>
    </row>
    <row r="12" spans="1:15" s="96" customFormat="1" x14ac:dyDescent="0.25">
      <c r="A12" s="145" t="s">
        <v>171</v>
      </c>
      <c r="C12" s="153"/>
      <c r="D12" s="126"/>
      <c r="E12" s="263"/>
      <c r="G12" s="122"/>
      <c r="H12" s="123"/>
      <c r="I12" s="153"/>
    </row>
    <row r="13" spans="1:15" x14ac:dyDescent="0.25">
      <c r="A13" s="145" t="s">
        <v>24</v>
      </c>
      <c r="C13" s="150">
        <v>15000</v>
      </c>
      <c r="D13" s="41"/>
      <c r="E13" s="263">
        <f>ROUND(C13*0.03,-2)</f>
        <v>500</v>
      </c>
      <c r="G13" s="122">
        <v>-3</v>
      </c>
      <c r="H13" s="123"/>
      <c r="I13" s="94">
        <f>C13+E13</f>
        <v>15500</v>
      </c>
    </row>
    <row r="14" spans="1:15" x14ac:dyDescent="0.25">
      <c r="A14" s="145" t="s">
        <v>60</v>
      </c>
      <c r="C14" s="150">
        <v>95000</v>
      </c>
      <c r="D14" s="41"/>
      <c r="E14" s="263">
        <f>ROUND(C14*0.03,-2)</f>
        <v>2900</v>
      </c>
      <c r="G14" s="122">
        <v>-3</v>
      </c>
      <c r="H14" s="123"/>
      <c r="I14" s="94">
        <f>C14+E14</f>
        <v>97900</v>
      </c>
    </row>
    <row r="15" spans="1:15" x14ac:dyDescent="0.25">
      <c r="A15" s="145" t="s">
        <v>75</v>
      </c>
      <c r="C15" s="150">
        <v>50000</v>
      </c>
      <c r="D15" s="41"/>
      <c r="E15" s="263">
        <v>25000</v>
      </c>
      <c r="G15" s="122">
        <v>-4</v>
      </c>
      <c r="H15" s="123"/>
      <c r="I15" s="94">
        <f>C15+E15</f>
        <v>75000</v>
      </c>
    </row>
    <row r="16" spans="1:15" x14ac:dyDescent="0.25">
      <c r="A16" s="145" t="s">
        <v>25</v>
      </c>
      <c r="C16" s="150">
        <v>50000</v>
      </c>
      <c r="D16" s="41"/>
      <c r="E16" s="263">
        <f>ROUND(C16*0.03,-2)</f>
        <v>1500</v>
      </c>
      <c r="G16" s="122">
        <v>-3</v>
      </c>
      <c r="H16" s="123"/>
      <c r="I16" s="94">
        <f t="shared" ref="I16:I20" si="0">C16+E16</f>
        <v>51500</v>
      </c>
    </row>
    <row r="17" spans="1:11" x14ac:dyDescent="0.25">
      <c r="A17" s="145" t="s">
        <v>57</v>
      </c>
      <c r="C17" s="150">
        <v>75000</v>
      </c>
      <c r="D17" s="41"/>
      <c r="E17" s="263">
        <f t="shared" ref="E17:E20" si="1">ROUND(C17*0.03,-2)</f>
        <v>2300</v>
      </c>
      <c r="G17" s="122">
        <v>-3</v>
      </c>
      <c r="H17" s="123"/>
      <c r="I17" s="94">
        <f t="shared" si="0"/>
        <v>77300</v>
      </c>
    </row>
    <row r="18" spans="1:11" x14ac:dyDescent="0.25">
      <c r="A18" s="145" t="s">
        <v>61</v>
      </c>
      <c r="C18" s="150">
        <v>23000</v>
      </c>
      <c r="D18" s="41"/>
      <c r="E18" s="263">
        <f t="shared" si="1"/>
        <v>700</v>
      </c>
      <c r="G18" s="122">
        <v>-3</v>
      </c>
      <c r="H18" s="123"/>
      <c r="I18" s="94">
        <f t="shared" si="0"/>
        <v>23700</v>
      </c>
    </row>
    <row r="19" spans="1:11" x14ac:dyDescent="0.25">
      <c r="A19" s="145" t="s">
        <v>26</v>
      </c>
      <c r="C19" s="150">
        <v>60000</v>
      </c>
      <c r="D19" s="41"/>
      <c r="E19" s="263">
        <v>2000</v>
      </c>
      <c r="G19" s="122">
        <v>-4</v>
      </c>
      <c r="H19" s="123"/>
      <c r="I19" s="94">
        <f t="shared" si="0"/>
        <v>62000</v>
      </c>
    </row>
    <row r="20" spans="1:11" x14ac:dyDescent="0.25">
      <c r="A20" s="145" t="s">
        <v>63</v>
      </c>
      <c r="C20" s="150">
        <v>7000</v>
      </c>
      <c r="D20" s="41"/>
      <c r="E20" s="263">
        <f t="shared" si="1"/>
        <v>200</v>
      </c>
      <c r="G20" s="122">
        <v>-3</v>
      </c>
      <c r="H20" s="123"/>
      <c r="I20" s="94">
        <f t="shared" si="0"/>
        <v>7200</v>
      </c>
    </row>
    <row r="21" spans="1:11" x14ac:dyDescent="0.25">
      <c r="A21" s="4"/>
      <c r="B21" s="4"/>
      <c r="C21" s="144"/>
      <c r="D21" s="4"/>
      <c r="E21" s="144"/>
      <c r="F21" s="4"/>
      <c r="G21" s="4"/>
      <c r="H21" s="4"/>
      <c r="I21" s="12"/>
    </row>
    <row r="22" spans="1:11" ht="16.5" thickBot="1" x14ac:dyDescent="0.3">
      <c r="A22" s="87" t="s">
        <v>1</v>
      </c>
      <c r="C22" s="29">
        <f>SUBTOTAL(109,C8:C21)</f>
        <v>950000</v>
      </c>
      <c r="E22" s="29">
        <f>SUBTOTAL(109,E8:E21)</f>
        <v>82600</v>
      </c>
      <c r="I22" s="29">
        <f>SUBTOTAL(109,I8:I21)</f>
        <v>1032600</v>
      </c>
      <c r="K22" s="1">
        <f>I22/C22</f>
        <v>1.0869473684210527</v>
      </c>
    </row>
    <row r="23" spans="1:11" ht="16.5" thickTop="1" x14ac:dyDescent="0.25">
      <c r="A23" s="4"/>
      <c r="B23" s="4"/>
      <c r="C23" s="4"/>
      <c r="D23" s="4"/>
      <c r="E23" s="4"/>
      <c r="F23" s="4"/>
      <c r="G23" s="4"/>
      <c r="H23" s="4"/>
      <c r="I23" s="198"/>
    </row>
    <row r="24" spans="1:11" x14ac:dyDescent="0.25">
      <c r="A24" s="95"/>
      <c r="B24" s="117"/>
      <c r="C24" s="196"/>
      <c r="D24" s="117"/>
      <c r="E24" s="196"/>
      <c r="F24" s="117"/>
      <c r="G24" s="197"/>
      <c r="H24" s="117"/>
      <c r="I24" s="152"/>
      <c r="J24" s="44"/>
    </row>
    <row r="25" spans="1:11" x14ac:dyDescent="0.25">
      <c r="A25" s="199" t="s">
        <v>95</v>
      </c>
      <c r="B25" s="44"/>
      <c r="C25" s="44"/>
      <c r="D25" s="44"/>
      <c r="E25" s="44"/>
      <c r="F25" s="44"/>
      <c r="G25" s="44"/>
      <c r="H25" s="44"/>
      <c r="I25" s="155"/>
      <c r="J25" s="44"/>
    </row>
    <row r="26" spans="1:11" x14ac:dyDescent="0.25">
      <c r="A26" s="270" t="s">
        <v>154</v>
      </c>
      <c r="B26" s="44"/>
      <c r="C26" s="44"/>
      <c r="D26" s="44"/>
      <c r="E26" s="44"/>
      <c r="F26" s="44"/>
      <c r="G26" s="44"/>
      <c r="H26" s="44"/>
      <c r="I26" s="46"/>
      <c r="J26" s="44"/>
    </row>
    <row r="27" spans="1:11" x14ac:dyDescent="0.25">
      <c r="A27" s="270" t="s">
        <v>155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1" x14ac:dyDescent="0.25">
      <c r="A28" s="270" t="s">
        <v>156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1" x14ac:dyDescent="0.25">
      <c r="A29" s="270" t="s">
        <v>157</v>
      </c>
    </row>
    <row r="30" spans="1:11" x14ac:dyDescent="0.25">
      <c r="A30" s="270" t="s">
        <v>208</v>
      </c>
      <c r="B30" s="4"/>
      <c r="C30" s="4"/>
      <c r="D30" s="4"/>
      <c r="E30" s="4"/>
      <c r="F30" s="4"/>
      <c r="G30" s="4"/>
      <c r="H30" s="4"/>
      <c r="I30" s="4"/>
    </row>
    <row r="31" spans="1:11" x14ac:dyDescent="0.25">
      <c r="A31" s="270" t="s">
        <v>178</v>
      </c>
      <c r="B31" s="4"/>
      <c r="C31" s="4"/>
      <c r="D31" s="4"/>
      <c r="E31" s="4"/>
      <c r="F31" s="4"/>
      <c r="G31" s="4"/>
      <c r="H31" s="4"/>
      <c r="I31" s="4"/>
    </row>
    <row r="32" spans="1:11" s="96" customFormat="1" x14ac:dyDescent="0.25">
      <c r="A32" s="270"/>
      <c r="B32" s="91"/>
      <c r="C32" s="91"/>
      <c r="D32" s="91"/>
      <c r="E32" s="91"/>
      <c r="F32" s="91"/>
      <c r="G32" s="91"/>
      <c r="H32" s="91"/>
      <c r="I32" s="91"/>
    </row>
    <row r="33" spans="1:14" x14ac:dyDescent="0.25">
      <c r="A33" s="270"/>
      <c r="B33" s="4"/>
      <c r="C33" s="4"/>
      <c r="D33" s="4"/>
      <c r="E33" s="4"/>
      <c r="F33" s="4"/>
      <c r="G33" s="4"/>
      <c r="H33" s="4"/>
      <c r="I33" s="4"/>
    </row>
    <row r="34" spans="1:14" x14ac:dyDescent="0.25">
      <c r="A34" s="270"/>
    </row>
    <row r="35" spans="1:14" ht="16.5" customHeight="1" x14ac:dyDescent="0.25">
      <c r="A35" s="270"/>
    </row>
    <row r="38" spans="1:14" x14ac:dyDescent="0.25">
      <c r="A38" s="34"/>
      <c r="B38" s="4"/>
      <c r="C38" s="4"/>
      <c r="D38" s="4"/>
      <c r="E38" s="4"/>
      <c r="F38" s="4"/>
      <c r="G38" s="4"/>
      <c r="H38" s="4"/>
      <c r="I38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14" x14ac:dyDescent="0.25">
      <c r="A41" s="45">
        <f>'Comb. Amortization'!A70+1</f>
        <v>8</v>
      </c>
      <c r="B41" s="4"/>
      <c r="C41" s="4"/>
      <c r="D41" s="4"/>
      <c r="E41" s="4"/>
      <c r="F41" s="4"/>
      <c r="G41" s="4"/>
      <c r="H41" s="4"/>
      <c r="I41" s="4"/>
    </row>
    <row r="42" spans="1:14" x14ac:dyDescent="0.25">
      <c r="A42" s="34"/>
      <c r="B42" s="4"/>
      <c r="C42" s="4"/>
      <c r="D42" s="4"/>
      <c r="E42" s="4"/>
      <c r="F42" s="4"/>
      <c r="G42" s="4"/>
      <c r="H42" s="4"/>
      <c r="I42" s="4"/>
    </row>
    <row r="43" spans="1:14" x14ac:dyDescent="0.25">
      <c r="A43" s="200"/>
      <c r="B43" s="117"/>
      <c r="C43" s="201"/>
      <c r="D43" s="117"/>
      <c r="E43" s="169"/>
      <c r="F43" s="117"/>
      <c r="G43" s="117"/>
      <c r="H43" s="117"/>
      <c r="I43" s="201"/>
      <c r="J43" s="44"/>
      <c r="K43" s="44"/>
      <c r="L43" s="44"/>
      <c r="M43" s="44"/>
      <c r="N43" s="44"/>
    </row>
    <row r="44" spans="1:14" x14ac:dyDescent="0.25">
      <c r="A44" s="200"/>
      <c r="B44" s="117"/>
      <c r="C44" s="201"/>
      <c r="D44" s="117"/>
      <c r="E44" s="200"/>
      <c r="F44" s="117"/>
      <c r="G44" s="117"/>
      <c r="H44" s="117"/>
      <c r="I44" s="201"/>
      <c r="J44" s="44"/>
      <c r="K44" s="44"/>
      <c r="L44" s="44"/>
      <c r="M44" s="44"/>
      <c r="N44" s="44"/>
    </row>
    <row r="45" spans="1:14" x14ac:dyDescent="0.25">
      <c r="A45" s="202"/>
      <c r="B45" s="117"/>
      <c r="C45" s="117"/>
      <c r="D45" s="117"/>
      <c r="E45" s="117"/>
      <c r="F45" s="117"/>
      <c r="G45" s="117"/>
      <c r="H45" s="117"/>
      <c r="I45" s="117"/>
      <c r="J45" s="44"/>
      <c r="K45" s="44"/>
      <c r="L45" s="44"/>
      <c r="M45" s="44"/>
      <c r="N45" s="44"/>
    </row>
    <row r="46" spans="1:14" x14ac:dyDescent="0.25">
      <c r="A46" s="202"/>
      <c r="B46" s="117"/>
      <c r="C46" s="117"/>
      <c r="D46" s="117"/>
      <c r="E46" s="117"/>
      <c r="F46" s="117"/>
      <c r="G46" s="117"/>
      <c r="H46" s="117"/>
      <c r="I46" s="117"/>
      <c r="J46" s="44"/>
      <c r="K46" s="44"/>
      <c r="L46" s="44"/>
      <c r="M46" s="44"/>
      <c r="N46" s="44"/>
    </row>
    <row r="47" spans="1:14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</sheetData>
  <phoneticPr fontId="0" type="noConversion"/>
  <printOptions horizontalCentered="1"/>
  <pageMargins left="0.75" right="0.75" top="1" bottom="1" header="0.5" footer="0.5"/>
  <pageSetup orientation="portrait" r:id="rId1"/>
  <headerFooter scaleWithDoc="0" alignWithMargins="0"/>
  <colBreaks count="1" manualBreakCount="1">
    <brk id="9" max="43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70" workbookViewId="0">
      <selection activeCell="T44" sqref="T44"/>
    </sheetView>
  </sheetViews>
  <sheetFormatPr defaultColWidth="8.85546875" defaultRowHeight="15.75" x14ac:dyDescent="0.25"/>
  <cols>
    <col min="1" max="1" width="3.7109375" style="159" customWidth="1"/>
    <col min="2" max="2" width="2.7109375" style="159" customWidth="1"/>
    <col min="3" max="3" width="40.140625" style="159" customWidth="1"/>
    <col min="4" max="4" width="15.7109375" style="159" customWidth="1"/>
    <col min="5" max="5" width="2.7109375" style="159" customWidth="1"/>
    <col min="6" max="6" width="15.7109375" style="159" customWidth="1"/>
    <col min="7" max="7" width="2.7109375" style="159" customWidth="1"/>
    <col min="8" max="8" width="15.7109375" style="159" customWidth="1"/>
    <col min="9" max="9" width="2.7109375" style="159" customWidth="1"/>
    <col min="10" max="10" width="15.7109375" style="159" customWidth="1"/>
    <col min="11" max="11" width="2.7109375" style="159" customWidth="1"/>
    <col min="12" max="12" width="15.7109375" style="159" customWidth="1"/>
    <col min="13" max="13" width="2.7109375" style="159" customWidth="1"/>
    <col min="14" max="14" width="15.7109375" style="159" customWidth="1"/>
    <col min="15" max="15" width="2.7109375" style="159" customWidth="1"/>
    <col min="16" max="16" width="15.7109375" style="159" customWidth="1"/>
    <col min="17" max="17" width="2.7109375" style="159" customWidth="1"/>
    <col min="18" max="18" width="15.7109375" style="159" customWidth="1"/>
    <col min="19" max="19" width="2.7109375" style="159" customWidth="1"/>
    <col min="20" max="20" width="15.7109375" style="159" customWidth="1"/>
    <col min="21" max="21" width="2.7109375" style="159" customWidth="1"/>
    <col min="22" max="23" width="15.7109375" style="159" customWidth="1"/>
    <col min="24" max="24" width="24.7109375" style="159" customWidth="1"/>
    <col min="25" max="25" width="9.5703125" style="159" customWidth="1"/>
    <col min="26" max="26" width="15.7109375" style="159" customWidth="1"/>
    <col min="27" max="16384" width="8.85546875" style="159"/>
  </cols>
  <sheetData>
    <row r="1" spans="1:22" x14ac:dyDescent="0.25">
      <c r="A1" s="157" t="str">
        <f>'Cap Plan P1'!A1</f>
        <v>ANYTOWN WATER UTILITY/SEWAGE WORKS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22" x14ac:dyDescent="0.25">
      <c r="A3" s="280" t="s">
        <v>100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2" x14ac:dyDescent="0.25">
      <c r="A4" s="280" t="s">
        <v>101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1:22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207"/>
      <c r="U5" s="207"/>
      <c r="V5" s="207"/>
    </row>
    <row r="6" spans="1:22" x14ac:dyDescent="0.25">
      <c r="A6" s="207"/>
      <c r="B6" s="207"/>
      <c r="C6" s="207"/>
      <c r="D6" s="281" t="s">
        <v>115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</row>
    <row r="7" spans="1:22" ht="15" customHeight="1" x14ac:dyDescent="0.25">
      <c r="A7" s="209"/>
      <c r="B7" s="209"/>
      <c r="C7" s="209"/>
      <c r="D7" s="210">
        <v>2018</v>
      </c>
      <c r="E7" s="179"/>
      <c r="F7" s="210">
        <f>D7+1</f>
        <v>2019</v>
      </c>
      <c r="G7" s="179"/>
      <c r="H7" s="210">
        <f>F7+1</f>
        <v>2020</v>
      </c>
      <c r="I7" s="179"/>
      <c r="J7" s="210">
        <f>H7+1</f>
        <v>2021</v>
      </c>
      <c r="K7" s="179"/>
      <c r="L7" s="210">
        <f>J7+1</f>
        <v>2022</v>
      </c>
      <c r="M7" s="179"/>
      <c r="N7" s="210">
        <f>L7+1</f>
        <v>2023</v>
      </c>
      <c r="O7" s="179"/>
      <c r="P7" s="210">
        <f>N7+1</f>
        <v>2024</v>
      </c>
      <c r="Q7" s="179"/>
      <c r="R7" s="210">
        <f>P7+1</f>
        <v>2025</v>
      </c>
      <c r="S7" s="211"/>
      <c r="T7" s="210">
        <f>R7+1</f>
        <v>2026</v>
      </c>
      <c r="U7" s="179"/>
      <c r="V7" s="210">
        <f>T7+1</f>
        <v>2027</v>
      </c>
    </row>
    <row r="8" spans="1:22" x14ac:dyDescent="0.25">
      <c r="A8" s="179" t="s">
        <v>102</v>
      </c>
      <c r="B8" s="179"/>
      <c r="C8" s="179"/>
      <c r="D8" s="212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213"/>
      <c r="T8" s="179"/>
      <c r="U8" s="179"/>
      <c r="V8" s="179"/>
    </row>
    <row r="9" spans="1:22" ht="15.6" customHeight="1" x14ac:dyDescent="0.25">
      <c r="A9" s="179"/>
      <c r="B9" s="179" t="s">
        <v>116</v>
      </c>
      <c r="C9" s="179"/>
      <c r="D9" s="214"/>
      <c r="E9" s="179"/>
      <c r="F9" s="214"/>
      <c r="G9" s="179"/>
      <c r="H9" s="214"/>
      <c r="I9" s="179"/>
      <c r="J9" s="214"/>
      <c r="K9" s="179"/>
      <c r="L9" s="214"/>
      <c r="M9" s="179"/>
      <c r="N9" s="214"/>
      <c r="O9" s="179"/>
      <c r="P9" s="214"/>
      <c r="Q9" s="179"/>
      <c r="R9" s="214"/>
      <c r="S9" s="215"/>
      <c r="T9" s="214"/>
      <c r="U9" s="179"/>
      <c r="V9" s="214"/>
    </row>
    <row r="10" spans="1:22" ht="15.6" customHeight="1" x14ac:dyDescent="0.25">
      <c r="A10" s="179"/>
      <c r="B10" s="179"/>
      <c r="C10" s="179" t="s">
        <v>173</v>
      </c>
      <c r="D10" s="214">
        <v>900000</v>
      </c>
      <c r="E10" s="179"/>
      <c r="F10" s="214">
        <f>D10</f>
        <v>900000</v>
      </c>
      <c r="G10" s="179"/>
      <c r="H10" s="214">
        <f>F10</f>
        <v>900000</v>
      </c>
      <c r="I10" s="179"/>
      <c r="J10" s="214">
        <f>H10</f>
        <v>900000</v>
      </c>
      <c r="K10" s="179"/>
      <c r="L10" s="214">
        <f>J10</f>
        <v>900000</v>
      </c>
      <c r="M10" s="179"/>
      <c r="N10" s="214">
        <f>L10</f>
        <v>900000</v>
      </c>
      <c r="O10" s="179"/>
      <c r="P10" s="214">
        <f>N10</f>
        <v>900000</v>
      </c>
      <c r="Q10" s="179"/>
      <c r="R10" s="214">
        <f>P10</f>
        <v>900000</v>
      </c>
      <c r="S10" s="215"/>
      <c r="T10" s="214">
        <f>R10</f>
        <v>900000</v>
      </c>
      <c r="U10" s="179"/>
      <c r="V10" s="214">
        <f>T10</f>
        <v>900000</v>
      </c>
    </row>
    <row r="11" spans="1:22" ht="15.6" customHeight="1" x14ac:dyDescent="0.25">
      <c r="A11" s="179"/>
      <c r="B11" s="179"/>
      <c r="C11" s="179" t="s">
        <v>174</v>
      </c>
      <c r="D11" s="216">
        <v>100000</v>
      </c>
      <c r="E11" s="179"/>
      <c r="F11" s="216">
        <f>D11</f>
        <v>100000</v>
      </c>
      <c r="G11" s="179"/>
      <c r="H11" s="216">
        <f>F11</f>
        <v>100000</v>
      </c>
      <c r="I11" s="179"/>
      <c r="J11" s="216">
        <f>H11</f>
        <v>100000</v>
      </c>
      <c r="K11" s="179"/>
      <c r="L11" s="216">
        <f>J11</f>
        <v>100000</v>
      </c>
      <c r="M11" s="179"/>
      <c r="N11" s="216">
        <f>L11</f>
        <v>100000</v>
      </c>
      <c r="O11" s="179"/>
      <c r="P11" s="216">
        <f>N11</f>
        <v>100000</v>
      </c>
      <c r="Q11" s="179"/>
      <c r="R11" s="216">
        <f>P11</f>
        <v>100000</v>
      </c>
      <c r="S11" s="215"/>
      <c r="T11" s="216">
        <f>R11</f>
        <v>100000</v>
      </c>
      <c r="U11" s="179"/>
      <c r="V11" s="216">
        <f>T11</f>
        <v>100000</v>
      </c>
    </row>
    <row r="12" spans="1:22" ht="15.6" customHeight="1" x14ac:dyDescent="0.25">
      <c r="A12" s="179"/>
      <c r="B12" s="179"/>
      <c r="C12" s="179" t="s">
        <v>175</v>
      </c>
      <c r="D12" s="216">
        <v>100000</v>
      </c>
      <c r="E12" s="179"/>
      <c r="F12" s="216">
        <f>D12</f>
        <v>100000</v>
      </c>
      <c r="G12" s="179"/>
      <c r="H12" s="216">
        <f>F12</f>
        <v>100000</v>
      </c>
      <c r="I12" s="179"/>
      <c r="J12" s="216">
        <f>H12</f>
        <v>100000</v>
      </c>
      <c r="K12" s="179"/>
      <c r="L12" s="216">
        <f>J12</f>
        <v>100000</v>
      </c>
      <c r="M12" s="179"/>
      <c r="N12" s="216">
        <f>L12</f>
        <v>100000</v>
      </c>
      <c r="O12" s="179"/>
      <c r="P12" s="216">
        <f>N12</f>
        <v>100000</v>
      </c>
      <c r="Q12" s="179"/>
      <c r="R12" s="216">
        <f>P12</f>
        <v>100000</v>
      </c>
      <c r="S12" s="215"/>
      <c r="T12" s="216">
        <f>R12</f>
        <v>100000</v>
      </c>
      <c r="U12" s="179"/>
      <c r="V12" s="216">
        <f>T12</f>
        <v>100000</v>
      </c>
    </row>
    <row r="13" spans="1:22" ht="15.6" customHeight="1" x14ac:dyDescent="0.25">
      <c r="A13" s="179"/>
      <c r="B13" s="179"/>
      <c r="C13" s="179" t="s">
        <v>176</v>
      </c>
      <c r="D13" s="216">
        <v>50000</v>
      </c>
      <c r="E13" s="179"/>
      <c r="F13" s="216">
        <f>D13</f>
        <v>50000</v>
      </c>
      <c r="G13" s="179"/>
      <c r="H13" s="216">
        <f>F13</f>
        <v>50000</v>
      </c>
      <c r="I13" s="179"/>
      <c r="J13" s="216">
        <f>H13</f>
        <v>50000</v>
      </c>
      <c r="K13" s="179"/>
      <c r="L13" s="216">
        <f>J13</f>
        <v>50000</v>
      </c>
      <c r="M13" s="179"/>
      <c r="N13" s="216">
        <f>L13</f>
        <v>50000</v>
      </c>
      <c r="O13" s="179"/>
      <c r="P13" s="216">
        <f>N13</f>
        <v>50000</v>
      </c>
      <c r="Q13" s="179"/>
      <c r="R13" s="216">
        <f>P13</f>
        <v>50000</v>
      </c>
      <c r="S13" s="215"/>
      <c r="T13" s="216">
        <f>R13</f>
        <v>50000</v>
      </c>
      <c r="U13" s="179"/>
      <c r="V13" s="216">
        <f>T13</f>
        <v>50000</v>
      </c>
    </row>
    <row r="14" spans="1:22" ht="15.6" customHeight="1" x14ac:dyDescent="0.25">
      <c r="A14" s="179"/>
      <c r="B14" s="179" t="s">
        <v>177</v>
      </c>
      <c r="C14" s="179"/>
      <c r="D14" s="216">
        <v>150000</v>
      </c>
      <c r="E14" s="216"/>
      <c r="F14" s="216">
        <f>D14</f>
        <v>150000</v>
      </c>
      <c r="G14" s="216"/>
      <c r="H14" s="216">
        <f>F14</f>
        <v>150000</v>
      </c>
      <c r="I14" s="216"/>
      <c r="J14" s="216">
        <f>H14</f>
        <v>150000</v>
      </c>
      <c r="K14" s="216"/>
      <c r="L14" s="216">
        <f>J14</f>
        <v>150000</v>
      </c>
      <c r="M14" s="216"/>
      <c r="N14" s="216">
        <f>L14</f>
        <v>150000</v>
      </c>
      <c r="O14" s="216"/>
      <c r="P14" s="216">
        <f>N14</f>
        <v>150000</v>
      </c>
      <c r="Q14" s="216"/>
      <c r="R14" s="216">
        <f>P14</f>
        <v>150000</v>
      </c>
      <c r="S14" s="216"/>
      <c r="T14" s="216">
        <f>R14</f>
        <v>150000</v>
      </c>
      <c r="U14" s="216"/>
      <c r="V14" s="216">
        <f>T14</f>
        <v>150000</v>
      </c>
    </row>
    <row r="15" spans="1:22" ht="15.6" customHeight="1" x14ac:dyDescent="0.25">
      <c r="A15" s="179"/>
      <c r="B15" s="179" t="s">
        <v>186</v>
      </c>
      <c r="C15" s="179"/>
      <c r="D15" s="216"/>
      <c r="E15" s="216"/>
      <c r="F15" s="216">
        <f>ROUND((SUM(F10:F14)*F44)*0.98,-2)+D15</f>
        <v>63700</v>
      </c>
      <c r="G15" s="216"/>
      <c r="H15" s="216">
        <f>ROUND((SUM(H10:H14)*H44)*0.98,-2)+F15</f>
        <v>127400</v>
      </c>
      <c r="I15" s="216"/>
      <c r="J15" s="216">
        <f>ROUND((SUM(J10:J14)*J44)*0.98,-2)+H15</f>
        <v>191100</v>
      </c>
      <c r="K15" s="216"/>
      <c r="L15" s="216">
        <f>ROUND((SUM(L10:L14)*L44)*0.98,-2)+J15</f>
        <v>254800</v>
      </c>
      <c r="M15" s="216"/>
      <c r="N15" s="216">
        <f>ROUND((SUM(N10:N14)*N44)*0.98,-2)+L15</f>
        <v>318500</v>
      </c>
      <c r="O15" s="216"/>
      <c r="P15" s="216">
        <f>ROUND((SUM(P10:P14)*P44)*0.98,-2)+N15</f>
        <v>382200</v>
      </c>
      <c r="Q15" s="216"/>
      <c r="R15" s="216">
        <f>ROUND((SUM(R10:R14)*R44)*0.98,-2)+P15</f>
        <v>445900</v>
      </c>
      <c r="S15" s="216"/>
      <c r="T15" s="216">
        <f>ROUND((SUM(T10:T14)*T44)*0.98,-2)+R15</f>
        <v>541500</v>
      </c>
      <c r="U15" s="216"/>
      <c r="V15" s="216">
        <f>ROUND((SUM(V10:V14)*V44)*0.98,-2)+T15</f>
        <v>637100</v>
      </c>
    </row>
    <row r="16" spans="1:22" ht="15.6" customHeight="1" x14ac:dyDescent="0.25">
      <c r="A16" s="179"/>
      <c r="B16" s="179" t="s">
        <v>187</v>
      </c>
      <c r="C16" s="179"/>
      <c r="D16" s="216">
        <v>5000</v>
      </c>
      <c r="E16" s="216"/>
      <c r="F16" s="216">
        <f>D16</f>
        <v>5000</v>
      </c>
      <c r="G16" s="216"/>
      <c r="H16" s="216">
        <f>F16</f>
        <v>5000</v>
      </c>
      <c r="I16" s="216"/>
      <c r="J16" s="216">
        <f>H16</f>
        <v>5000</v>
      </c>
      <c r="K16" s="216"/>
      <c r="L16" s="216">
        <f>J16</f>
        <v>5000</v>
      </c>
      <c r="M16" s="216"/>
      <c r="N16" s="216">
        <f>L16</f>
        <v>5000</v>
      </c>
      <c r="O16" s="216"/>
      <c r="P16" s="216">
        <f>N16</f>
        <v>5000</v>
      </c>
      <c r="Q16" s="216"/>
      <c r="R16" s="216">
        <f>P16</f>
        <v>5000</v>
      </c>
      <c r="S16" s="216"/>
      <c r="T16" s="216">
        <f>R16</f>
        <v>5000</v>
      </c>
      <c r="U16" s="216"/>
      <c r="V16" s="216">
        <f>T16</f>
        <v>5000</v>
      </c>
    </row>
    <row r="17" spans="1:25" x14ac:dyDescent="0.25">
      <c r="A17" s="179"/>
      <c r="B17" s="179" t="s">
        <v>189</v>
      </c>
      <c r="C17" s="179"/>
      <c r="D17" s="216">
        <v>50000</v>
      </c>
      <c r="E17" s="179"/>
      <c r="F17" s="216">
        <f>D17</f>
        <v>50000</v>
      </c>
      <c r="G17" s="179"/>
      <c r="H17" s="216">
        <f>F17</f>
        <v>50000</v>
      </c>
      <c r="I17" s="179"/>
      <c r="J17" s="216">
        <f>H17</f>
        <v>50000</v>
      </c>
      <c r="K17" s="179"/>
      <c r="L17" s="216">
        <f>J17</f>
        <v>50000</v>
      </c>
      <c r="M17" s="179"/>
      <c r="N17" s="216">
        <f>L17</f>
        <v>50000</v>
      </c>
      <c r="O17" s="179"/>
      <c r="P17" s="216">
        <f>N17</f>
        <v>50000</v>
      </c>
      <c r="Q17" s="179"/>
      <c r="R17" s="216">
        <f>P17</f>
        <v>50000</v>
      </c>
      <c r="S17" s="215"/>
      <c r="T17" s="216">
        <f>R17</f>
        <v>50000</v>
      </c>
      <c r="U17" s="179"/>
      <c r="V17" s="216">
        <f>T17</f>
        <v>50000</v>
      </c>
    </row>
    <row r="18" spans="1:25" x14ac:dyDescent="0.25">
      <c r="A18" s="179"/>
      <c r="B18" s="218"/>
      <c r="C18" s="179"/>
      <c r="D18" s="240"/>
      <c r="E18" s="217"/>
      <c r="F18" s="240"/>
      <c r="G18" s="217"/>
      <c r="H18" s="240"/>
      <c r="I18" s="179"/>
      <c r="J18" s="240"/>
      <c r="K18" s="179"/>
      <c r="L18" s="240"/>
      <c r="M18" s="179"/>
      <c r="N18" s="240"/>
      <c r="O18" s="179"/>
      <c r="P18" s="240"/>
      <c r="Q18" s="179"/>
      <c r="R18" s="240"/>
      <c r="S18" s="215"/>
      <c r="T18" s="240"/>
      <c r="U18" s="179"/>
      <c r="V18" s="240"/>
    </row>
    <row r="19" spans="1:25" x14ac:dyDescent="0.25">
      <c r="B19" s="218"/>
      <c r="C19" s="179" t="s">
        <v>103</v>
      </c>
      <c r="D19" s="219">
        <f>SUM(D9:D17)</f>
        <v>1355000</v>
      </c>
      <c r="E19" s="219"/>
      <c r="F19" s="219">
        <f>SUM(F9:F17)</f>
        <v>1418700</v>
      </c>
      <c r="G19" s="219"/>
      <c r="H19" s="219">
        <f>SUM(H9:H17)</f>
        <v>1482400</v>
      </c>
      <c r="I19" s="216"/>
      <c r="J19" s="219">
        <f>SUM(J9:J17)</f>
        <v>1546100</v>
      </c>
      <c r="K19" s="216"/>
      <c r="L19" s="219">
        <f>SUM(L9:L17)</f>
        <v>1609800</v>
      </c>
      <c r="M19" s="216"/>
      <c r="N19" s="219">
        <f>SUM(N9:N17)</f>
        <v>1673500</v>
      </c>
      <c r="O19" s="216"/>
      <c r="P19" s="219">
        <f>SUM(P9:P17)</f>
        <v>1737200</v>
      </c>
      <c r="Q19" s="216"/>
      <c r="R19" s="219">
        <f>SUM(R9:R17)</f>
        <v>1800900</v>
      </c>
      <c r="S19" s="220"/>
      <c r="T19" s="219">
        <f>SUM(T9:T17)</f>
        <v>1896500</v>
      </c>
      <c r="U19" s="216"/>
      <c r="V19" s="219">
        <f>SUM(V9:V17)</f>
        <v>1992100</v>
      </c>
    </row>
    <row r="20" spans="1:25" x14ac:dyDescent="0.25">
      <c r="A20" s="179"/>
      <c r="B20" s="218"/>
      <c r="C20" s="179"/>
      <c r="D20" s="214"/>
      <c r="E20" s="179"/>
      <c r="F20" s="214"/>
      <c r="G20" s="179"/>
      <c r="H20" s="214"/>
      <c r="I20" s="179"/>
      <c r="J20" s="214"/>
      <c r="K20" s="179"/>
      <c r="L20" s="214"/>
      <c r="M20" s="179"/>
      <c r="N20" s="214"/>
      <c r="O20" s="179"/>
      <c r="P20" s="214"/>
      <c r="Q20" s="179"/>
      <c r="R20" s="214"/>
      <c r="S20" s="215"/>
      <c r="T20" s="214"/>
      <c r="U20" s="179"/>
      <c r="V20" s="214"/>
    </row>
    <row r="21" spans="1:25" x14ac:dyDescent="0.25">
      <c r="A21" s="179" t="s">
        <v>191</v>
      </c>
      <c r="B21" s="218"/>
      <c r="C21" s="179"/>
      <c r="D21" s="221">
        <f>OpDis!I22</f>
        <v>1032600</v>
      </c>
      <c r="E21" s="179"/>
      <c r="F21" s="221">
        <f>ROUND(D21*(1+$Y21),-2)</f>
        <v>1063600</v>
      </c>
      <c r="G21" s="221"/>
      <c r="H21" s="221">
        <f>ROUND(F21*(1+$Y21),-2)</f>
        <v>1095500</v>
      </c>
      <c r="I21" s="221"/>
      <c r="J21" s="221">
        <f>ROUND(H21*(1+$Y21),-2)</f>
        <v>1128400</v>
      </c>
      <c r="K21" s="221"/>
      <c r="L21" s="221">
        <f>ROUND(J21*(1+$Y21),-2)</f>
        <v>1162300</v>
      </c>
      <c r="M21" s="221"/>
      <c r="N21" s="221">
        <f>ROUND(L21*(1+$Y21),-2)</f>
        <v>1197200</v>
      </c>
      <c r="O21" s="221"/>
      <c r="P21" s="221">
        <f>ROUND(N21*(1+$Y21),-2)</f>
        <v>1233100</v>
      </c>
      <c r="Q21" s="221"/>
      <c r="R21" s="221">
        <f>ROUND(P21*(1+$Y21),-2)</f>
        <v>1270100</v>
      </c>
      <c r="S21" s="221"/>
      <c r="T21" s="221">
        <f>ROUND(R21*(1+$Y21),-2)</f>
        <v>1308200</v>
      </c>
      <c r="U21" s="221"/>
      <c r="V21" s="221">
        <f>ROUND(T21*(1+$Y21),-2)</f>
        <v>1347400</v>
      </c>
      <c r="X21" s="159" t="s">
        <v>160</v>
      </c>
      <c r="Y21" s="247">
        <v>0.03</v>
      </c>
    </row>
    <row r="22" spans="1:25" x14ac:dyDescent="0.25">
      <c r="A22" s="179"/>
      <c r="B22" s="218"/>
      <c r="C22" s="179"/>
      <c r="D22" s="223"/>
      <c r="E22" s="179"/>
      <c r="F22" s="223"/>
      <c r="G22" s="179"/>
      <c r="H22" s="223"/>
      <c r="I22" s="179"/>
      <c r="J22" s="223"/>
      <c r="K22" s="179"/>
      <c r="L22" s="223"/>
      <c r="M22" s="179"/>
      <c r="N22" s="223"/>
      <c r="O22" s="179"/>
      <c r="P22" s="223"/>
      <c r="Q22" s="179"/>
      <c r="R22" s="223"/>
      <c r="S22" s="222"/>
      <c r="T22" s="223"/>
      <c r="U22" s="179"/>
      <c r="V22" s="223"/>
    </row>
    <row r="23" spans="1:25" x14ac:dyDescent="0.25">
      <c r="A23" s="179" t="s">
        <v>104</v>
      </c>
      <c r="B23" s="179"/>
      <c r="C23" s="179"/>
      <c r="D23" s="224">
        <f>D19-D21</f>
        <v>322400</v>
      </c>
      <c r="E23" s="170"/>
      <c r="F23" s="224">
        <f>F19-F21</f>
        <v>355100</v>
      </c>
      <c r="G23" s="170"/>
      <c r="H23" s="224">
        <f>H19-H21</f>
        <v>386900</v>
      </c>
      <c r="I23" s="170"/>
      <c r="J23" s="224">
        <f>J19-J21</f>
        <v>417700</v>
      </c>
      <c r="K23" s="170"/>
      <c r="L23" s="224">
        <f>L19-L21</f>
        <v>447500</v>
      </c>
      <c r="M23" s="170"/>
      <c r="N23" s="224">
        <f>N19-N21</f>
        <v>476300</v>
      </c>
      <c r="O23" s="170"/>
      <c r="P23" s="224">
        <f>P19-P21</f>
        <v>504100</v>
      </c>
      <c r="Q23" s="170"/>
      <c r="R23" s="224">
        <f>R19-R21</f>
        <v>530800</v>
      </c>
      <c r="S23" s="225"/>
      <c r="T23" s="224">
        <f>T19-T21</f>
        <v>588300</v>
      </c>
      <c r="U23" s="170"/>
      <c r="V23" s="224">
        <f>V19-V21</f>
        <v>644700</v>
      </c>
    </row>
    <row r="24" spans="1:25" x14ac:dyDescent="0.25">
      <c r="A24" s="179"/>
      <c r="B24" s="179"/>
      <c r="C24" s="179"/>
      <c r="D24" s="225"/>
      <c r="E24" s="170"/>
      <c r="F24" s="225"/>
      <c r="G24" s="170"/>
      <c r="H24" s="225"/>
      <c r="I24" s="170"/>
      <c r="J24" s="225"/>
      <c r="K24" s="170"/>
      <c r="L24" s="225"/>
      <c r="M24" s="170"/>
      <c r="N24" s="225"/>
      <c r="O24" s="170"/>
      <c r="P24" s="225"/>
      <c r="Q24" s="170"/>
      <c r="R24" s="225"/>
      <c r="S24" s="225"/>
      <c r="T24" s="225"/>
      <c r="U24" s="170"/>
      <c r="V24" s="225"/>
    </row>
    <row r="25" spans="1:25" x14ac:dyDescent="0.25">
      <c r="A25" s="179" t="s">
        <v>105</v>
      </c>
      <c r="B25" s="179"/>
      <c r="C25" s="179"/>
      <c r="D25" s="170"/>
      <c r="E25" s="170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</row>
    <row r="26" spans="1:25" x14ac:dyDescent="0.25">
      <c r="A26" s="179"/>
      <c r="B26" s="179" t="s">
        <v>106</v>
      </c>
      <c r="C26" s="179"/>
      <c r="D26" s="222">
        <v>1000</v>
      </c>
      <c r="E26" s="213"/>
      <c r="F26" s="222">
        <f>D26</f>
        <v>1000</v>
      </c>
      <c r="G26" s="213"/>
      <c r="H26" s="222">
        <f>F26</f>
        <v>1000</v>
      </c>
      <c r="I26" s="213"/>
      <c r="J26" s="222">
        <f>H26</f>
        <v>1000</v>
      </c>
      <c r="K26" s="213"/>
      <c r="L26" s="222">
        <f>J26</f>
        <v>1000</v>
      </c>
      <c r="M26" s="213"/>
      <c r="N26" s="222">
        <f>L26</f>
        <v>1000</v>
      </c>
      <c r="O26" s="213"/>
      <c r="P26" s="222">
        <f>N26</f>
        <v>1000</v>
      </c>
      <c r="Q26" s="213"/>
      <c r="R26" s="222">
        <f>P26</f>
        <v>1000</v>
      </c>
      <c r="S26" s="222"/>
      <c r="T26" s="222">
        <f>R26</f>
        <v>1000</v>
      </c>
      <c r="U26" s="213"/>
      <c r="V26" s="222">
        <f>T26</f>
        <v>1000</v>
      </c>
    </row>
    <row r="27" spans="1:25" x14ac:dyDescent="0.25">
      <c r="A27" s="179"/>
      <c r="B27" s="179" t="s">
        <v>192</v>
      </c>
      <c r="C27" s="179"/>
      <c r="D27" s="222">
        <v>1500</v>
      </c>
      <c r="E27" s="213"/>
      <c r="F27" s="222">
        <f>D27</f>
        <v>1500</v>
      </c>
      <c r="G27" s="213"/>
      <c r="H27" s="222">
        <f>F27</f>
        <v>1500</v>
      </c>
      <c r="I27" s="213"/>
      <c r="J27" s="222">
        <f>H27</f>
        <v>1500</v>
      </c>
      <c r="K27" s="213"/>
      <c r="L27" s="222">
        <f>J27</f>
        <v>1500</v>
      </c>
      <c r="M27" s="213"/>
      <c r="N27" s="222">
        <f>L27</f>
        <v>1500</v>
      </c>
      <c r="O27" s="213"/>
      <c r="P27" s="222">
        <f>N27</f>
        <v>1500</v>
      </c>
      <c r="Q27" s="213"/>
      <c r="R27" s="222">
        <f>P27</f>
        <v>1500</v>
      </c>
      <c r="S27" s="222"/>
      <c r="T27" s="222">
        <f>R27</f>
        <v>1500</v>
      </c>
      <c r="U27" s="213"/>
      <c r="V27" s="222">
        <f>T27</f>
        <v>1500</v>
      </c>
    </row>
    <row r="28" spans="1:25" x14ac:dyDescent="0.25">
      <c r="A28" s="179"/>
      <c r="B28" s="179"/>
      <c r="C28" s="179"/>
      <c r="D28" s="227"/>
      <c r="E28" s="179"/>
      <c r="F28" s="227"/>
      <c r="G28" s="179"/>
      <c r="H28" s="227"/>
      <c r="I28" s="179"/>
      <c r="J28" s="227"/>
      <c r="K28" s="179"/>
      <c r="L28" s="227"/>
      <c r="M28" s="179"/>
      <c r="N28" s="227"/>
      <c r="O28" s="179"/>
      <c r="P28" s="227"/>
      <c r="Q28" s="179"/>
      <c r="R28" s="227"/>
      <c r="S28" s="213"/>
      <c r="T28" s="227"/>
      <c r="U28" s="179"/>
      <c r="V28" s="227"/>
    </row>
    <row r="29" spans="1:25" x14ac:dyDescent="0.25">
      <c r="A29" s="179"/>
      <c r="B29" s="179"/>
      <c r="C29" s="179" t="s">
        <v>107</v>
      </c>
      <c r="D29" s="221">
        <f>SUM(D26:D27)</f>
        <v>2500</v>
      </c>
      <c r="E29" s="179"/>
      <c r="F29" s="221">
        <f>SUM(F26:F27)</f>
        <v>2500</v>
      </c>
      <c r="G29" s="179"/>
      <c r="H29" s="221">
        <f>SUM(H26:H27)</f>
        <v>2500</v>
      </c>
      <c r="I29" s="179"/>
      <c r="J29" s="221">
        <f>SUM(J26:J27)</f>
        <v>2500</v>
      </c>
      <c r="K29" s="179"/>
      <c r="L29" s="221">
        <f>SUM(L26:L27)</f>
        <v>2500</v>
      </c>
      <c r="M29" s="179"/>
      <c r="N29" s="221">
        <f>SUM(N26:N27)</f>
        <v>2500</v>
      </c>
      <c r="O29" s="179"/>
      <c r="P29" s="221">
        <f>SUM(P26:P27)</f>
        <v>2500</v>
      </c>
      <c r="Q29" s="179"/>
      <c r="R29" s="221">
        <f>SUM(R26:R27)</f>
        <v>2500</v>
      </c>
      <c r="S29" s="213"/>
      <c r="T29" s="221">
        <f>SUM(T26:T27)</f>
        <v>2500</v>
      </c>
      <c r="U29" s="179"/>
      <c r="V29" s="221">
        <f>SUM(V26:V27)</f>
        <v>2500</v>
      </c>
    </row>
    <row r="30" spans="1:25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213"/>
      <c r="T30" s="179"/>
      <c r="U30" s="179"/>
      <c r="V30" s="179"/>
    </row>
    <row r="31" spans="1:25" x14ac:dyDescent="0.25">
      <c r="A31" s="179" t="s">
        <v>108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213"/>
      <c r="T31" s="179"/>
      <c r="U31" s="179"/>
      <c r="V31" s="179"/>
    </row>
    <row r="32" spans="1:25" x14ac:dyDescent="0.25">
      <c r="A32" s="179"/>
      <c r="B32" s="218" t="s">
        <v>193</v>
      </c>
      <c r="C32" s="179"/>
      <c r="D32" s="223">
        <f>ROUND('Comb. Amortization'!K9,-2)</f>
        <v>232600</v>
      </c>
      <c r="E32" s="179"/>
      <c r="F32" s="223">
        <f>ROUND('Comb. Amortization'!K11,-2)</f>
        <v>233200</v>
      </c>
      <c r="G32" s="179"/>
      <c r="H32" s="223">
        <f>ROUND('Comb. Amortization'!K13,-2)</f>
        <v>233700</v>
      </c>
      <c r="I32" s="179"/>
      <c r="J32" s="223">
        <f>ROUND('Comb. Amortization'!K15,-2)</f>
        <v>234000</v>
      </c>
      <c r="K32" s="179"/>
      <c r="L32" s="223">
        <f>ROUND('Comb. Amortization'!K17,-2)</f>
        <v>256500</v>
      </c>
      <c r="M32" s="179"/>
      <c r="N32" s="223">
        <f>ROUND('Comb. Amortization'!K19,-2)</f>
        <v>318300</v>
      </c>
      <c r="O32" s="179"/>
      <c r="P32" s="223">
        <f>ROUND('Comb. Amortization'!K21,-2)</f>
        <v>316600</v>
      </c>
      <c r="Q32" s="179"/>
      <c r="R32" s="223">
        <f>ROUND('Comb. Amortization'!K23,-2)</f>
        <v>314700</v>
      </c>
      <c r="S32" s="179"/>
      <c r="T32" s="223">
        <f>ROUND('Comb. Amortization'!K25,-2)</f>
        <v>370000</v>
      </c>
      <c r="U32" s="179"/>
      <c r="V32" s="223">
        <f>ROUND('Comb. Amortization'!K27,-2)</f>
        <v>494100</v>
      </c>
    </row>
    <row r="33" spans="1:22" x14ac:dyDescent="0.25">
      <c r="A33" s="179"/>
      <c r="B33" s="218" t="s">
        <v>109</v>
      </c>
      <c r="C33" s="179"/>
      <c r="D33" s="225"/>
      <c r="E33" s="213"/>
      <c r="F33" s="225"/>
      <c r="G33" s="213"/>
      <c r="H33" s="225"/>
      <c r="I33" s="213"/>
      <c r="J33" s="225"/>
      <c r="K33" s="213"/>
      <c r="L33" s="225">
        <f>ROUND(('Proposed Bonds 1'!P11/5/2),-2)</f>
        <v>8600</v>
      </c>
      <c r="M33" s="213"/>
      <c r="N33" s="225">
        <f>ROUND('Proposed Bonds 1'!P11/5,-2)</f>
        <v>17100</v>
      </c>
      <c r="O33" s="213"/>
      <c r="P33" s="225">
        <f>N33</f>
        <v>17100</v>
      </c>
      <c r="Q33" s="213"/>
      <c r="R33" s="225">
        <f>P33</f>
        <v>17100</v>
      </c>
      <c r="S33" s="222"/>
      <c r="T33" s="225">
        <f>ROUND(('Proposed Bonds 2'!P11/5)/2,-2)+R33</f>
        <v>35700</v>
      </c>
      <c r="U33" s="213"/>
      <c r="V33" s="225">
        <f>ROUND('Proposed Bonds 2'!P11/5,-2)+L33</f>
        <v>45700</v>
      </c>
    </row>
    <row r="34" spans="1:22" x14ac:dyDescent="0.25">
      <c r="A34" s="179"/>
      <c r="B34" s="218" t="s">
        <v>194</v>
      </c>
      <c r="C34" s="179"/>
      <c r="D34" s="225">
        <v>25000</v>
      </c>
      <c r="E34" s="179"/>
      <c r="F34" s="225">
        <f>D34</f>
        <v>25000</v>
      </c>
      <c r="G34" s="179"/>
      <c r="H34" s="225">
        <f>F34</f>
        <v>25000</v>
      </c>
      <c r="I34" s="179"/>
      <c r="J34" s="225">
        <f>H34</f>
        <v>25000</v>
      </c>
      <c r="K34" s="179"/>
      <c r="L34" s="225">
        <f>J34</f>
        <v>25000</v>
      </c>
      <c r="M34" s="179"/>
      <c r="N34" s="225">
        <f>L34</f>
        <v>25000</v>
      </c>
      <c r="O34" s="179"/>
      <c r="P34" s="225">
        <f>N34</f>
        <v>25000</v>
      </c>
      <c r="Q34" s="179"/>
      <c r="R34" s="225">
        <f>P34</f>
        <v>25000</v>
      </c>
      <c r="S34" s="222"/>
      <c r="T34" s="225">
        <f>R34</f>
        <v>25000</v>
      </c>
      <c r="U34" s="179"/>
      <c r="V34" s="225">
        <f>T34</f>
        <v>25000</v>
      </c>
    </row>
    <row r="35" spans="1:22" x14ac:dyDescent="0.25">
      <c r="A35" s="179"/>
      <c r="B35" s="218" t="s">
        <v>195</v>
      </c>
      <c r="C35" s="179"/>
      <c r="D35" s="223">
        <f>ROUND('Cap Plan P1'!C33,-2)</f>
        <v>92500</v>
      </c>
      <c r="E35" s="179"/>
      <c r="F35" s="223">
        <f>ROUND('Cap Plan P1'!E33,-2)</f>
        <v>67500</v>
      </c>
      <c r="G35" s="226"/>
      <c r="H35" s="223">
        <f>ROUND('Cap Plan P1'!G33,-2)</f>
        <v>117500</v>
      </c>
      <c r="I35" s="226"/>
      <c r="J35" s="223">
        <f>ROUND('Cap Plan P1'!I33,-2)</f>
        <v>167500</v>
      </c>
      <c r="K35" s="226"/>
      <c r="L35" s="223">
        <f>ROUND('Cap Plan P1'!K33,-2)</f>
        <v>117500</v>
      </c>
      <c r="M35" s="226"/>
      <c r="N35" s="223">
        <f>ROUND('Cap Plan P1'!M33,-2)</f>
        <v>117500</v>
      </c>
      <c r="O35" s="179"/>
      <c r="P35" s="223">
        <f>ROUND('Cap Plan P1'!O33,-2)</f>
        <v>117500</v>
      </c>
      <c r="Q35" s="179"/>
      <c r="R35" s="223">
        <f>ROUND('Cap Plan P1'!Q33,-2)</f>
        <v>67500</v>
      </c>
      <c r="S35" s="222"/>
      <c r="T35" s="223">
        <f>ROUND('Cap Plan P1'!S33,-2)</f>
        <v>67500</v>
      </c>
      <c r="U35" s="222"/>
      <c r="V35" s="223">
        <f>ROUND('Cap Plan P1'!U33,-2)</f>
        <v>92500</v>
      </c>
    </row>
    <row r="36" spans="1:22" x14ac:dyDescent="0.25">
      <c r="A36" s="179"/>
      <c r="B36" s="179"/>
      <c r="C36" s="179"/>
      <c r="D36" s="227"/>
      <c r="E36" s="179"/>
      <c r="F36" s="227"/>
      <c r="G36" s="179"/>
      <c r="H36" s="227"/>
      <c r="I36" s="179"/>
      <c r="J36" s="227"/>
      <c r="K36" s="179"/>
      <c r="L36" s="227"/>
      <c r="M36" s="179"/>
      <c r="N36" s="227"/>
      <c r="O36" s="179"/>
      <c r="P36" s="227"/>
      <c r="Q36" s="179"/>
      <c r="R36" s="227"/>
      <c r="S36" s="213"/>
      <c r="T36" s="227"/>
      <c r="U36" s="179"/>
      <c r="V36" s="227"/>
    </row>
    <row r="37" spans="1:22" x14ac:dyDescent="0.25">
      <c r="A37" s="179"/>
      <c r="B37" s="179"/>
      <c r="C37" s="179" t="s">
        <v>110</v>
      </c>
      <c r="D37" s="221">
        <f>SUM(D32:D35)</f>
        <v>350100</v>
      </c>
      <c r="E37" s="179"/>
      <c r="F37" s="221">
        <f>SUM(F32:F35)</f>
        <v>325700</v>
      </c>
      <c r="G37" s="179"/>
      <c r="H37" s="221">
        <f>SUM(H32:H35)</f>
        <v>376200</v>
      </c>
      <c r="I37" s="179"/>
      <c r="J37" s="221">
        <f>SUM(J32:J35)</f>
        <v>426500</v>
      </c>
      <c r="K37" s="179"/>
      <c r="L37" s="221">
        <f>SUM(L32:L35)</f>
        <v>407600</v>
      </c>
      <c r="M37" s="179"/>
      <c r="N37" s="221">
        <f>SUM(N32:N35)</f>
        <v>477900</v>
      </c>
      <c r="O37" s="179"/>
      <c r="P37" s="221">
        <f>SUM(P32:P35)</f>
        <v>476200</v>
      </c>
      <c r="Q37" s="179"/>
      <c r="R37" s="221">
        <f>SUM(R32:R35)</f>
        <v>424300</v>
      </c>
      <c r="S37" s="222"/>
      <c r="T37" s="221">
        <f>SUM(T32:T35)</f>
        <v>498200</v>
      </c>
      <c r="U37" s="179"/>
      <c r="V37" s="221">
        <f>SUM(V32:V35)</f>
        <v>657300</v>
      </c>
    </row>
    <row r="38" spans="1:22" x14ac:dyDescent="0.25">
      <c r="A38" s="179"/>
      <c r="B38" s="179"/>
      <c r="C38" s="179"/>
      <c r="D38" s="223"/>
      <c r="E38" s="179"/>
      <c r="F38" s="223"/>
      <c r="G38" s="179"/>
      <c r="H38" s="223"/>
      <c r="I38" s="179"/>
      <c r="J38" s="223"/>
      <c r="K38" s="179"/>
      <c r="L38" s="223"/>
      <c r="M38" s="179"/>
      <c r="N38" s="223"/>
      <c r="O38" s="179"/>
      <c r="P38" s="223"/>
      <c r="Q38" s="179"/>
      <c r="R38" s="223"/>
      <c r="S38" s="222"/>
      <c r="T38" s="223"/>
      <c r="U38" s="179"/>
      <c r="V38" s="223"/>
    </row>
    <row r="39" spans="1:22" x14ac:dyDescent="0.25">
      <c r="A39" s="179" t="s">
        <v>111</v>
      </c>
      <c r="B39" s="179"/>
      <c r="C39" s="179"/>
      <c r="D39" s="223">
        <f>D23+D29-D37</f>
        <v>-25200</v>
      </c>
      <c r="E39" s="179"/>
      <c r="F39" s="223">
        <f>F23+F29-F37</f>
        <v>31900</v>
      </c>
      <c r="G39" s="179"/>
      <c r="H39" s="223">
        <f>H23+H29-H37</f>
        <v>13200</v>
      </c>
      <c r="I39" s="179"/>
      <c r="J39" s="223">
        <f>J23+J29-J37</f>
        <v>-6300</v>
      </c>
      <c r="K39" s="179"/>
      <c r="L39" s="223">
        <f>L23+L29-L37</f>
        <v>42400</v>
      </c>
      <c r="M39" s="179"/>
      <c r="N39" s="223">
        <f>N23+N29-N37</f>
        <v>900</v>
      </c>
      <c r="O39" s="179"/>
      <c r="P39" s="223">
        <f>P23+P29-P37</f>
        <v>30400</v>
      </c>
      <c r="Q39" s="179"/>
      <c r="R39" s="223">
        <f>R23+R29-R37</f>
        <v>109000</v>
      </c>
      <c r="S39" s="222"/>
      <c r="T39" s="223">
        <f>T23+T29-T37</f>
        <v>92600</v>
      </c>
      <c r="U39" s="179"/>
      <c r="V39" s="223">
        <f>V23+V29-V37</f>
        <v>-10100</v>
      </c>
    </row>
    <row r="40" spans="1:22" x14ac:dyDescent="0.25">
      <c r="A40" s="179" t="s">
        <v>112</v>
      </c>
      <c r="B40" s="179"/>
      <c r="C40" s="179"/>
      <c r="D40" s="221">
        <v>750000</v>
      </c>
      <c r="E40" s="179"/>
      <c r="F40" s="221">
        <f>D42</f>
        <v>724800</v>
      </c>
      <c r="G40" s="179"/>
      <c r="H40" s="221">
        <f>F42</f>
        <v>756700</v>
      </c>
      <c r="I40" s="179"/>
      <c r="J40" s="221">
        <f>H42</f>
        <v>769900</v>
      </c>
      <c r="K40" s="179"/>
      <c r="L40" s="221">
        <f>J42</f>
        <v>763600</v>
      </c>
      <c r="M40" s="179"/>
      <c r="N40" s="221">
        <f>L42</f>
        <v>806000</v>
      </c>
      <c r="O40" s="179"/>
      <c r="P40" s="221">
        <f>N42</f>
        <v>806900</v>
      </c>
      <c r="Q40" s="179"/>
      <c r="R40" s="221">
        <f>P42</f>
        <v>837300</v>
      </c>
      <c r="S40" s="222"/>
      <c r="T40" s="221">
        <f>R42</f>
        <v>946300</v>
      </c>
      <c r="U40" s="179"/>
      <c r="V40" s="221">
        <f>T42</f>
        <v>1038900</v>
      </c>
    </row>
    <row r="41" spans="1:22" x14ac:dyDescent="0.2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213"/>
      <c r="T41" s="179"/>
      <c r="U41" s="179"/>
      <c r="V41" s="179"/>
    </row>
    <row r="42" spans="1:22" ht="16.5" thickBot="1" x14ac:dyDescent="0.3">
      <c r="A42" s="179" t="s">
        <v>87</v>
      </c>
      <c r="B42" s="179"/>
      <c r="C42" s="179"/>
      <c r="D42" s="241">
        <f>SUM(D39:D41)</f>
        <v>724800</v>
      </c>
      <c r="E42" s="179"/>
      <c r="F42" s="229">
        <f>SUM(F39:F41)</f>
        <v>756700</v>
      </c>
      <c r="G42" s="179"/>
      <c r="H42" s="229">
        <f>SUM(H39:H41)</f>
        <v>769900</v>
      </c>
      <c r="I42" s="179"/>
      <c r="J42" s="229">
        <f>SUM(J39:J41)</f>
        <v>763600</v>
      </c>
      <c r="K42" s="179"/>
      <c r="L42" s="229">
        <f>SUM(L39:L41)</f>
        <v>806000</v>
      </c>
      <c r="M42" s="179"/>
      <c r="N42" s="229">
        <f>SUM(N39:N41)</f>
        <v>806900</v>
      </c>
      <c r="O42" s="179"/>
      <c r="P42" s="229">
        <f>SUM(P39:P41)</f>
        <v>837300</v>
      </c>
      <c r="Q42" s="179"/>
      <c r="R42" s="229">
        <f>SUM(R39:R41)</f>
        <v>946300</v>
      </c>
      <c r="S42" s="215"/>
      <c r="T42" s="229">
        <f>SUM(T39:T41)</f>
        <v>1038900</v>
      </c>
      <c r="U42" s="179"/>
      <c r="V42" s="229">
        <f>SUM(V39:V41)</f>
        <v>1028800</v>
      </c>
    </row>
    <row r="43" spans="1:22" ht="16.5" thickTop="1" x14ac:dyDescent="0.25">
      <c r="A43" s="179"/>
      <c r="B43" s="179"/>
      <c r="C43" s="179"/>
      <c r="D43" s="179"/>
      <c r="E43" s="179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30"/>
      <c r="T43" s="228"/>
      <c r="U43" s="228"/>
      <c r="V43" s="228"/>
    </row>
    <row r="44" spans="1:22" ht="16.5" thickBot="1" x14ac:dyDescent="0.3">
      <c r="A44" s="179" t="s">
        <v>114</v>
      </c>
      <c r="B44" s="179"/>
      <c r="C44" s="179"/>
      <c r="D44" s="231">
        <v>0</v>
      </c>
      <c r="E44" s="232"/>
      <c r="F44" s="231">
        <v>0.05</v>
      </c>
      <c r="G44" s="233"/>
      <c r="H44" s="231">
        <v>0.05</v>
      </c>
      <c r="I44" s="234"/>
      <c r="J44" s="231">
        <v>0.05</v>
      </c>
      <c r="K44" s="234"/>
      <c r="L44" s="231">
        <v>0.05</v>
      </c>
      <c r="M44" s="234"/>
      <c r="N44" s="231">
        <v>0.05</v>
      </c>
      <c r="O44" s="234"/>
      <c r="P44" s="231">
        <v>0.05</v>
      </c>
      <c r="Q44" s="234"/>
      <c r="R44" s="231">
        <v>0.05</v>
      </c>
      <c r="S44" s="235"/>
      <c r="T44" s="231">
        <v>7.4999999999999997E-2</v>
      </c>
      <c r="U44" s="234"/>
      <c r="V44" s="231">
        <v>7.4999999999999997E-2</v>
      </c>
    </row>
    <row r="45" spans="1:22" ht="16.5" thickTop="1" x14ac:dyDescent="0.25">
      <c r="A45" s="179"/>
      <c r="B45" s="179"/>
      <c r="C45" s="179"/>
      <c r="D45" s="179"/>
      <c r="E45" s="179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30"/>
      <c r="T45" s="228"/>
      <c r="U45" s="228"/>
      <c r="V45" s="228"/>
    </row>
    <row r="46" spans="1:22" x14ac:dyDescent="0.25">
      <c r="A46" s="179" t="s">
        <v>179</v>
      </c>
      <c r="B46" s="179"/>
      <c r="C46" s="179"/>
      <c r="D46" s="179"/>
      <c r="E46" s="179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30"/>
      <c r="T46" s="228"/>
      <c r="U46" s="228"/>
      <c r="V46" s="228"/>
    </row>
    <row r="47" spans="1:22" ht="16.5" thickBot="1" x14ac:dyDescent="0.3">
      <c r="B47" s="179" t="s">
        <v>180</v>
      </c>
      <c r="D47" s="236">
        <f>ROUND(35*(1+D44),2)</f>
        <v>35</v>
      </c>
      <c r="E47" s="179"/>
      <c r="F47" s="236">
        <f>CEILING(D47*(1+F44),0.05)</f>
        <v>36.75</v>
      </c>
      <c r="G47" s="228"/>
      <c r="H47" s="236">
        <f>CEILING(F47*(1+H44),0.05)</f>
        <v>38.6</v>
      </c>
      <c r="I47" s="228"/>
      <c r="J47" s="236">
        <f>CEILING(H47*(1+J44),0.05)</f>
        <v>40.550000000000004</v>
      </c>
      <c r="K47" s="228"/>
      <c r="L47" s="236">
        <f>CEILING(J47*(1+L44),0.05)</f>
        <v>42.6</v>
      </c>
      <c r="M47" s="228"/>
      <c r="N47" s="236">
        <f>CEILING(L47*(1+N44),0.05)</f>
        <v>44.75</v>
      </c>
      <c r="O47" s="228"/>
      <c r="P47" s="236">
        <f>CEILING(N47*(1+P44),0.05)</f>
        <v>47</v>
      </c>
      <c r="Q47" s="228"/>
      <c r="R47" s="236">
        <f>CEILING(P47*(1+R44),0.05)</f>
        <v>49.35</v>
      </c>
      <c r="S47" s="230"/>
      <c r="T47" s="236">
        <f>CEILING(R47*(1+T44),0.05)</f>
        <v>53.1</v>
      </c>
      <c r="U47" s="237"/>
      <c r="V47" s="236">
        <f>CEILING(T47*(1+V44),0.05)</f>
        <v>57.1</v>
      </c>
    </row>
    <row r="48" spans="1:22" ht="16.5" thickTop="1" x14ac:dyDescent="0.25">
      <c r="A48" s="179"/>
      <c r="B48" s="238"/>
      <c r="C48" s="179"/>
      <c r="D48" s="179"/>
      <c r="E48" s="179"/>
      <c r="F48" s="179"/>
      <c r="G48" s="228"/>
      <c r="H48" s="179"/>
      <c r="I48" s="228"/>
      <c r="J48" s="179"/>
      <c r="K48" s="228"/>
      <c r="L48" s="179"/>
      <c r="M48" s="228"/>
      <c r="N48" s="179"/>
      <c r="O48" s="228"/>
      <c r="P48" s="179"/>
      <c r="Q48" s="228"/>
      <c r="R48" s="179"/>
      <c r="S48" s="230"/>
      <c r="T48" s="179"/>
      <c r="U48" s="228"/>
      <c r="V48" s="179"/>
    </row>
    <row r="49" spans="1:22" ht="16.5" thickBot="1" x14ac:dyDescent="0.3">
      <c r="A49" s="179" t="s">
        <v>113</v>
      </c>
      <c r="B49" s="238"/>
      <c r="C49" s="179"/>
      <c r="D49" s="236">
        <f>D47-35</f>
        <v>0</v>
      </c>
      <c r="E49" s="237"/>
      <c r="F49" s="236">
        <f>+F47-D47</f>
        <v>1.75</v>
      </c>
      <c r="G49" s="237"/>
      <c r="H49" s="236">
        <f>+H47-F47</f>
        <v>1.8500000000000014</v>
      </c>
      <c r="I49" s="228"/>
      <c r="J49" s="236">
        <f>+J47-H47</f>
        <v>1.9500000000000028</v>
      </c>
      <c r="K49" s="228"/>
      <c r="L49" s="236">
        <f>+L47-J47</f>
        <v>2.0499999999999972</v>
      </c>
      <c r="M49" s="228"/>
      <c r="N49" s="236">
        <f>+N47-L47</f>
        <v>2.1499999999999986</v>
      </c>
      <c r="O49" s="228"/>
      <c r="P49" s="236">
        <f>+P47-N47</f>
        <v>2.25</v>
      </c>
      <c r="Q49" s="228"/>
      <c r="R49" s="236">
        <f>+R47-P47</f>
        <v>2.3500000000000014</v>
      </c>
      <c r="S49" s="230"/>
      <c r="T49" s="236">
        <f>+T47-R47</f>
        <v>3.75</v>
      </c>
      <c r="U49" s="228"/>
      <c r="V49" s="236">
        <f>+V47-T47</f>
        <v>4</v>
      </c>
    </row>
    <row r="50" spans="1:22" ht="16.5" thickTop="1" x14ac:dyDescent="0.25">
      <c r="A50" s="179"/>
      <c r="B50" s="238"/>
      <c r="C50" s="179"/>
      <c r="D50" s="179"/>
      <c r="E50" s="179"/>
      <c r="F50" s="179"/>
      <c r="G50" s="228"/>
      <c r="H50" s="179"/>
      <c r="I50" s="228"/>
      <c r="J50" s="179"/>
      <c r="K50" s="228"/>
      <c r="L50" s="179"/>
      <c r="M50" s="228"/>
      <c r="N50" s="179"/>
      <c r="O50" s="228"/>
      <c r="P50" s="179"/>
      <c r="Q50" s="228"/>
      <c r="R50" s="179"/>
      <c r="S50" s="230"/>
      <c r="T50" s="179"/>
      <c r="U50" s="228"/>
      <c r="V50" s="179"/>
    </row>
    <row r="51" spans="1:22" ht="16.5" thickBot="1" x14ac:dyDescent="0.3">
      <c r="A51" s="179" t="s">
        <v>88</v>
      </c>
      <c r="B51" s="238"/>
      <c r="C51" s="179"/>
      <c r="D51" s="239">
        <f>ROUND((D23+D26)/D32,2)</f>
        <v>1.39</v>
      </c>
      <c r="E51" s="179"/>
      <c r="F51" s="239">
        <f>ROUND((F23+F26)/F32,2)</f>
        <v>1.53</v>
      </c>
      <c r="G51" s="228"/>
      <c r="H51" s="239">
        <f>ROUND((H23+H26)/H32,2)</f>
        <v>1.66</v>
      </c>
      <c r="I51" s="228"/>
      <c r="J51" s="239">
        <f>ROUND((J23+J26)/J32,2)</f>
        <v>1.79</v>
      </c>
      <c r="K51" s="228"/>
      <c r="L51" s="239">
        <f>ROUND((L23+L26)/L32,2)</f>
        <v>1.75</v>
      </c>
      <c r="M51" s="228"/>
      <c r="N51" s="239">
        <f>ROUND((N23+N26)/N32,2)</f>
        <v>1.5</v>
      </c>
      <c r="O51" s="228"/>
      <c r="P51" s="239">
        <f>ROUND((P23+P26)/P32,2)</f>
        <v>1.6</v>
      </c>
      <c r="Q51" s="228"/>
      <c r="R51" s="239">
        <f>ROUND((R23+R26)/R32,2)</f>
        <v>1.69</v>
      </c>
      <c r="S51" s="230"/>
      <c r="T51" s="239">
        <f>ROUND((T23+T26)/T32,2)</f>
        <v>1.59</v>
      </c>
      <c r="U51" s="228"/>
      <c r="V51" s="239">
        <f>ROUND((V23+V26)/V32,2)</f>
        <v>1.31</v>
      </c>
    </row>
    <row r="52" spans="1:22" ht="16.5" thickTop="1" x14ac:dyDescent="0.25">
      <c r="A52" s="179"/>
      <c r="B52" s="238"/>
      <c r="C52" s="179"/>
      <c r="D52" s="179"/>
      <c r="E52" s="179"/>
      <c r="F52" s="179"/>
      <c r="G52" s="228"/>
      <c r="H52" s="179"/>
      <c r="I52" s="228"/>
      <c r="J52" s="179"/>
      <c r="K52" s="228"/>
      <c r="L52" s="179"/>
      <c r="M52" s="228"/>
      <c r="N52" s="179"/>
      <c r="O52" s="228"/>
      <c r="P52" s="179"/>
      <c r="Q52" s="228"/>
      <c r="R52" s="179"/>
      <c r="S52" s="230"/>
      <c r="T52" s="179"/>
      <c r="U52" s="228"/>
      <c r="V52" s="228"/>
    </row>
    <row r="53" spans="1:22" ht="16.5" thickBot="1" x14ac:dyDescent="0.3">
      <c r="A53" s="179" t="s">
        <v>181</v>
      </c>
      <c r="B53" s="238"/>
      <c r="C53" s="179"/>
      <c r="D53" s="239">
        <f>ROUND((D23+D29-D34-D16)/D32,2)</f>
        <v>1.27</v>
      </c>
      <c r="E53" s="179"/>
      <c r="F53" s="239">
        <f>ROUND((F23+F29-F34-F16)/F32,2)</f>
        <v>1.4</v>
      </c>
      <c r="G53" s="228"/>
      <c r="H53" s="239">
        <f>ROUND((H23+H29-H34-H16)/H32,2)</f>
        <v>1.54</v>
      </c>
      <c r="I53" s="228"/>
      <c r="J53" s="239">
        <f>ROUND((J23+J29-J34-J16)/J32,2)</f>
        <v>1.67</v>
      </c>
      <c r="K53" s="228"/>
      <c r="L53" s="239">
        <f>ROUND((L23+L29-L34-L16)/L32,2)</f>
        <v>1.64</v>
      </c>
      <c r="M53" s="228"/>
      <c r="N53" s="239">
        <f>ROUND((N23+N29-N34-N16)/N32,2)</f>
        <v>1.41</v>
      </c>
      <c r="O53" s="228"/>
      <c r="P53" s="239">
        <f>ROUND((P23+P29-P34-P16)/P32,2)</f>
        <v>1.51</v>
      </c>
      <c r="Q53" s="228"/>
      <c r="R53" s="239">
        <f>ROUND((R23+R29-R34-R16)/R32,2)</f>
        <v>1.6</v>
      </c>
      <c r="S53" s="230"/>
      <c r="T53" s="239">
        <f>ROUND((T23+T29-T34-T16)/T32,2)</f>
        <v>1.52</v>
      </c>
      <c r="U53" s="228"/>
      <c r="V53" s="239">
        <f>ROUND((V23+V29-V34-V16)/V32,2)</f>
        <v>1.25</v>
      </c>
    </row>
    <row r="54" spans="1:22" ht="16.5" thickTop="1" x14ac:dyDescent="0.25">
      <c r="A54" s="179"/>
      <c r="B54" s="238"/>
      <c r="C54" s="179"/>
      <c r="D54" s="179"/>
      <c r="E54" s="179"/>
      <c r="F54" s="179"/>
      <c r="G54" s="228"/>
      <c r="H54" s="179"/>
      <c r="I54" s="228"/>
      <c r="J54" s="179"/>
      <c r="K54" s="228"/>
      <c r="L54" s="179"/>
      <c r="M54" s="228"/>
      <c r="N54" s="179"/>
      <c r="O54" s="228"/>
      <c r="P54" s="179"/>
      <c r="Q54" s="228"/>
      <c r="R54" s="179"/>
      <c r="S54" s="230"/>
      <c r="T54" s="179"/>
      <c r="U54" s="228"/>
      <c r="V54" s="228"/>
    </row>
    <row r="55" spans="1:22" x14ac:dyDescent="0.25">
      <c r="A55" s="242" t="s">
        <v>202</v>
      </c>
      <c r="B55" s="242"/>
      <c r="C55" s="178"/>
      <c r="D55" s="178"/>
      <c r="E55" s="17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243"/>
      <c r="U55" s="243"/>
      <c r="V55" s="243"/>
    </row>
    <row r="56" spans="1:22" x14ac:dyDescent="0.25">
      <c r="A56" s="179"/>
      <c r="B56" s="238"/>
      <c r="C56" s="179"/>
      <c r="D56" s="179"/>
      <c r="E56" s="179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30"/>
      <c r="T56" s="228"/>
      <c r="U56" s="228"/>
      <c r="V56" s="228"/>
    </row>
    <row r="57" spans="1:22" x14ac:dyDescent="0.25">
      <c r="A57" s="246">
        <f>OpDis!A41+1</f>
        <v>9</v>
      </c>
      <c r="B57" s="242"/>
      <c r="C57" s="178"/>
      <c r="D57" s="178"/>
      <c r="E57" s="178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4"/>
      <c r="T57" s="243"/>
      <c r="U57" s="243"/>
      <c r="V57" s="243"/>
    </row>
    <row r="58" spans="1:22" x14ac:dyDescent="0.25">
      <c r="A58" s="179"/>
      <c r="B58" s="238"/>
      <c r="C58" s="179"/>
      <c r="D58" s="179"/>
      <c r="E58" s="179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30"/>
      <c r="T58" s="228"/>
      <c r="U58" s="228"/>
      <c r="V58" s="228"/>
    </row>
    <row r="59" spans="1:22" x14ac:dyDescent="0.25">
      <c r="A59" s="179"/>
      <c r="B59" s="238"/>
      <c r="C59" s="179"/>
      <c r="D59" s="179"/>
      <c r="E59" s="179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30"/>
      <c r="T59" s="228"/>
      <c r="U59" s="228"/>
      <c r="V59" s="228"/>
    </row>
    <row r="60" spans="1:22" x14ac:dyDescent="0.25">
      <c r="A60" s="179"/>
      <c r="B60" s="238"/>
      <c r="C60" s="179"/>
      <c r="D60" s="179"/>
      <c r="E60" s="179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30"/>
      <c r="T60" s="228"/>
      <c r="U60" s="228"/>
      <c r="V60" s="228"/>
    </row>
    <row r="61" spans="1:22" x14ac:dyDescent="0.25">
      <c r="A61" s="179"/>
      <c r="B61" s="238"/>
      <c r="C61" s="179"/>
      <c r="D61" s="179"/>
      <c r="E61" s="179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30"/>
      <c r="T61" s="228"/>
      <c r="U61" s="228"/>
      <c r="V61" s="228"/>
    </row>
  </sheetData>
  <mergeCells count="3">
    <mergeCell ref="A3:V3"/>
    <mergeCell ref="A4:V4"/>
    <mergeCell ref="D6:V6"/>
  </mergeCells>
  <printOptions horizontalCentered="1"/>
  <pageMargins left="0.7" right="0.7" top="0.75" bottom="0.75" header="0.3" footer="0.3"/>
  <pageSetup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Cap Plan P1</vt:lpstr>
      <vt:lpstr>Cap Plan P2</vt:lpstr>
      <vt:lpstr>Out. Bonds</vt:lpstr>
      <vt:lpstr>Proj Cost</vt:lpstr>
      <vt:lpstr>Proposed Bonds 1</vt:lpstr>
      <vt:lpstr>Proposed Bonds 2</vt:lpstr>
      <vt:lpstr>Comb. Amortization</vt:lpstr>
      <vt:lpstr>OpDis</vt:lpstr>
      <vt:lpstr>Cash Flow P1</vt:lpstr>
      <vt:lpstr>Cash Flow P2</vt:lpstr>
      <vt:lpstr>Ref</vt:lpstr>
      <vt:lpstr>Financial Stmt Cash 1</vt:lpstr>
      <vt:lpstr>Financial Stmt Cash 2</vt:lpstr>
      <vt:lpstr>Financial Statement Accrual</vt:lpstr>
      <vt:lpstr>'Cap Plan P1'!Print_Area</vt:lpstr>
      <vt:lpstr>'Cap Plan P2'!Print_Area</vt:lpstr>
      <vt:lpstr>'Cash Flow P1'!Print_Area</vt:lpstr>
      <vt:lpstr>'Cash Flow P2'!Print_Area</vt:lpstr>
      <vt:lpstr>'Comb. Amortization'!Print_Area</vt:lpstr>
      <vt:lpstr>'Financial Statement Accrual'!Print_Area</vt:lpstr>
      <vt:lpstr>'Financial Stmt Cash 1'!Print_Area</vt:lpstr>
      <vt:lpstr>'Financial Stmt Cash 2'!Print_Area</vt:lpstr>
      <vt:lpstr>OpDis!Print_Area</vt:lpstr>
      <vt:lpstr>'Out. Bonds'!Print_Area</vt:lpstr>
      <vt:lpstr>'Proj Cost'!Print_Area</vt:lpstr>
      <vt:lpstr>'Proposed Bonds 1'!Print_Area</vt:lpstr>
      <vt:lpstr>'Proposed Bonds 2'!Print_Area</vt:lpstr>
      <vt:lpstr>Ref!Print_Area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jnelson</dc:creator>
  <cp:lastModifiedBy>Jones, Joanie</cp:lastModifiedBy>
  <cp:lastPrinted>2018-06-29T19:30:04Z</cp:lastPrinted>
  <dcterms:created xsi:type="dcterms:W3CDTF">2006-09-25T17:15:20Z</dcterms:created>
  <dcterms:modified xsi:type="dcterms:W3CDTF">2019-10-15T14:42:01Z</dcterms:modified>
</cp:coreProperties>
</file>